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E:\BKS\NAAC\GSL\SSR\C-5\"/>
    </mc:Choice>
  </mc:AlternateContent>
  <bookViews>
    <workbookView xWindow="240" yWindow="75" windowWidth="20055" windowHeight="7950" tabRatio="777" activeTab="6"/>
  </bookViews>
  <sheets>
    <sheet name="2020-21" sheetId="9" r:id="rId1"/>
    <sheet name="2019-20" sheetId="11" r:id="rId2"/>
    <sheet name="2018-19" sheetId="12" r:id="rId3"/>
    <sheet name="2017-18" sheetId="13" r:id="rId4"/>
    <sheet name="2016-17" sheetId="14" r:id="rId5"/>
    <sheet name="MDS 2020-21" sheetId="16" r:id="rId6"/>
    <sheet name="MDS 2019-20" sheetId="17" r:id="rId7"/>
  </sheets>
  <definedNames>
    <definedName name="_xlnm._FilterDatabase" localSheetId="0" hidden="1">'2020-21'!$A$5:$K$54</definedName>
    <definedName name="_xlnm.Print_Area" localSheetId="3">'2017-18'!$A$1:$N$124</definedName>
    <definedName name="_xlnm.Print_Area" localSheetId="2">'2018-19'!$A$1:$O$124</definedName>
    <definedName name="_xlnm.Print_Area" localSheetId="1">'2019-20'!$A$1:$O$122</definedName>
    <definedName name="_xlnm.Print_Area" localSheetId="0">'2020-21'!$A$1:$L$57</definedName>
    <definedName name="_xlnm.Print_Area" localSheetId="6">'MDS 2019-20'!$A$1:$O$45</definedName>
    <definedName name="_xlnm.Print_Area" localSheetId="5">'MDS 2020-21'!$A$1:$H$26</definedName>
    <definedName name="_xlnm.Print_Titles" localSheetId="4">'2016-17'!$4:$4</definedName>
    <definedName name="_xlnm.Print_Titles" localSheetId="3">'2017-18'!$4:$4</definedName>
    <definedName name="_xlnm.Print_Titles" localSheetId="2">'2018-19'!$4:$4</definedName>
    <definedName name="_xlnm.Print_Titles" localSheetId="1">'2019-20'!$4:$4</definedName>
    <definedName name="_xlnm.Print_Titles" localSheetId="0">'2020-21'!$3:$3</definedName>
    <definedName name="_xlnm.Print_Titles" localSheetId="6">'MDS 2019-20'!$4:$4</definedName>
    <definedName name="_xlnm.Print_Titles" localSheetId="5">'MDS 2020-21'!#REF!</definedName>
  </definedNames>
  <calcPr calcId="162913"/>
</workbook>
</file>

<file path=xl/calcChain.xml><?xml version="1.0" encoding="utf-8"?>
<calcChain xmlns="http://schemas.openxmlformats.org/spreadsheetml/2006/main">
  <c r="J25" i="17" l="1"/>
  <c r="F25" i="17"/>
  <c r="J24" i="17"/>
  <c r="J23" i="17"/>
  <c r="F23" i="17"/>
  <c r="J22" i="17"/>
  <c r="F22" i="17"/>
  <c r="J21" i="17"/>
  <c r="F21" i="17"/>
  <c r="J18" i="17"/>
  <c r="J17" i="17"/>
  <c r="F17" i="17"/>
  <c r="J16" i="17"/>
  <c r="F16" i="17"/>
  <c r="J14" i="17"/>
  <c r="F14" i="17"/>
  <c r="J13" i="17"/>
  <c r="F13" i="17"/>
  <c r="J12" i="17"/>
  <c r="F12" i="17"/>
  <c r="J11" i="17"/>
  <c r="J10" i="17"/>
  <c r="F10" i="17"/>
  <c r="J9" i="17"/>
  <c r="F9" i="17"/>
  <c r="J8" i="17"/>
  <c r="F8" i="17"/>
  <c r="J7" i="17"/>
  <c r="F7" i="17"/>
  <c r="J6" i="17"/>
  <c r="F6" i="17"/>
  <c r="J5" i="17"/>
  <c r="F5" i="17"/>
  <c r="F58" i="14" l="1"/>
  <c r="F57" i="14"/>
  <c r="F56" i="14"/>
  <c r="F55" i="14"/>
  <c r="F54" i="14"/>
  <c r="F53" i="14"/>
  <c r="F52" i="14"/>
  <c r="F51" i="14"/>
  <c r="F50" i="14"/>
  <c r="F49" i="14"/>
  <c r="F48" i="14"/>
  <c r="F47" i="14"/>
  <c r="F46" i="14"/>
  <c r="F45" i="14"/>
  <c r="F44" i="14"/>
  <c r="F43" i="14"/>
  <c r="F42" i="14"/>
  <c r="F41" i="14"/>
  <c r="F40" i="14"/>
  <c r="F39" i="14"/>
  <c r="F38" i="14"/>
  <c r="F37" i="14"/>
  <c r="F36" i="14"/>
  <c r="F35" i="14"/>
  <c r="F34" i="14"/>
  <c r="F33" i="14"/>
  <c r="F32" i="14"/>
  <c r="F31" i="14"/>
  <c r="F30" i="14"/>
  <c r="F29" i="14"/>
  <c r="F28" i="14"/>
  <c r="F27" i="14"/>
  <c r="F26" i="14"/>
  <c r="F25" i="14"/>
  <c r="F24" i="14"/>
  <c r="F23" i="14"/>
  <c r="F22" i="14"/>
  <c r="F21" i="14"/>
  <c r="F20" i="14"/>
  <c r="F19" i="14"/>
  <c r="F18" i="14"/>
  <c r="F17" i="14"/>
  <c r="F16" i="14"/>
  <c r="F15" i="14"/>
  <c r="F14" i="14"/>
  <c r="F6" i="14"/>
  <c r="K105" i="13" l="1"/>
  <c r="K106" i="13" s="1"/>
  <c r="P104" i="13"/>
  <c r="Q104" i="13" s="1"/>
  <c r="P103" i="13"/>
  <c r="Q103" i="13" s="1"/>
  <c r="P102" i="13"/>
  <c r="Q102" i="13" s="1"/>
  <c r="P101" i="13"/>
  <c r="Q101" i="13" s="1"/>
  <c r="P100" i="13"/>
  <c r="Q100" i="13" s="1"/>
  <c r="P99" i="13"/>
  <c r="Q99" i="13" s="1"/>
  <c r="P98" i="13"/>
  <c r="Q98" i="13" s="1"/>
  <c r="P97" i="13"/>
  <c r="Q97" i="13" s="1"/>
  <c r="P96" i="13"/>
  <c r="Q96" i="13" s="1"/>
  <c r="P95" i="13"/>
  <c r="Q95" i="13" s="1"/>
  <c r="P94" i="13"/>
  <c r="Q94" i="13" s="1"/>
  <c r="P93" i="13"/>
  <c r="Q93" i="13" s="1"/>
  <c r="P92" i="13"/>
  <c r="Q92" i="13" s="1"/>
  <c r="P91" i="13"/>
  <c r="Q91" i="13" s="1"/>
  <c r="P90" i="13"/>
  <c r="Q90" i="13" s="1"/>
  <c r="P89" i="13"/>
  <c r="Q89" i="13" s="1"/>
  <c r="P88" i="13"/>
  <c r="Q88" i="13" s="1"/>
  <c r="P87" i="13"/>
  <c r="Q87" i="13" s="1"/>
  <c r="P86" i="13"/>
  <c r="Q86" i="13" s="1"/>
  <c r="P85" i="13"/>
  <c r="Q85" i="13" s="1"/>
  <c r="P84" i="13"/>
  <c r="Q84" i="13" s="1"/>
  <c r="P83" i="13"/>
  <c r="Q83" i="13" s="1"/>
  <c r="P82" i="13"/>
  <c r="Q82" i="13" s="1"/>
  <c r="P81" i="13"/>
  <c r="Q81" i="13" s="1"/>
  <c r="P80" i="13"/>
  <c r="Q80" i="13" s="1"/>
  <c r="P79" i="13"/>
  <c r="Q79" i="13" s="1"/>
  <c r="P78" i="13"/>
  <c r="Q78" i="13" s="1"/>
  <c r="P77" i="13"/>
  <c r="Q77" i="13" s="1"/>
  <c r="P76" i="13"/>
  <c r="Q76" i="13" s="1"/>
  <c r="P75" i="13"/>
  <c r="Q75" i="13" s="1"/>
  <c r="P74" i="13"/>
  <c r="Q74" i="13" s="1"/>
  <c r="P73" i="13"/>
  <c r="Q73" i="13" s="1"/>
  <c r="P72" i="13"/>
  <c r="Q72" i="13" s="1"/>
  <c r="P71" i="13"/>
  <c r="Q71" i="13" s="1"/>
  <c r="P70" i="13"/>
  <c r="Q70" i="13" s="1"/>
  <c r="P69" i="13"/>
  <c r="Q69" i="13" s="1"/>
  <c r="P68" i="13"/>
  <c r="Q68" i="13" s="1"/>
  <c r="P67" i="13"/>
  <c r="Q67" i="13" s="1"/>
  <c r="P66" i="13"/>
  <c r="Q66" i="13" s="1"/>
  <c r="P65" i="13"/>
  <c r="Q65" i="13" s="1"/>
  <c r="G65" i="13"/>
  <c r="P64" i="13"/>
  <c r="Q64" i="13" s="1"/>
  <c r="G64" i="13"/>
  <c r="P63" i="13"/>
  <c r="Q63" i="13" s="1"/>
  <c r="G63" i="13"/>
  <c r="Q62" i="13"/>
  <c r="P62" i="13"/>
  <c r="G62" i="13"/>
  <c r="P61" i="13"/>
  <c r="Q61" i="13" s="1"/>
  <c r="G61" i="13"/>
  <c r="P60" i="13"/>
  <c r="Q60" i="13" s="1"/>
  <c r="G60" i="13"/>
  <c r="Q59" i="13"/>
  <c r="P59" i="13"/>
  <c r="G59" i="13"/>
  <c r="Q58" i="13"/>
  <c r="P58" i="13"/>
  <c r="G58" i="13"/>
  <c r="P57" i="13"/>
  <c r="Q57" i="13" s="1"/>
  <c r="G57" i="13"/>
  <c r="P56" i="13"/>
  <c r="Q56" i="13" s="1"/>
  <c r="G56" i="13"/>
  <c r="Q55" i="13"/>
  <c r="P55" i="13"/>
  <c r="G55" i="13"/>
  <c r="Q54" i="13"/>
  <c r="P54" i="13"/>
  <c r="G54" i="13"/>
  <c r="P53" i="13"/>
  <c r="Q53" i="13" s="1"/>
  <c r="G53" i="13"/>
  <c r="P52" i="13"/>
  <c r="Q52" i="13" s="1"/>
  <c r="G52" i="13"/>
  <c r="Q51" i="13"/>
  <c r="P51" i="13"/>
  <c r="G51" i="13"/>
  <c r="Q50" i="13"/>
  <c r="P50" i="13"/>
  <c r="G50" i="13"/>
  <c r="P49" i="13"/>
  <c r="Q49" i="13" s="1"/>
  <c r="G49" i="13"/>
  <c r="P48" i="13"/>
  <c r="Q48" i="13" s="1"/>
  <c r="G48" i="13"/>
  <c r="Q47" i="13"/>
  <c r="P47" i="13"/>
  <c r="G47" i="13"/>
  <c r="Q46" i="13"/>
  <c r="P46" i="13"/>
  <c r="G46" i="13"/>
  <c r="P45" i="13"/>
  <c r="Q45" i="13" s="1"/>
  <c r="G45" i="13"/>
  <c r="P44" i="13"/>
  <c r="Q44" i="13" s="1"/>
  <c r="G44" i="13"/>
  <c r="Q43" i="13"/>
  <c r="P43" i="13"/>
  <c r="G43" i="13"/>
  <c r="Q42" i="13"/>
  <c r="P42" i="13"/>
  <c r="G42" i="13"/>
  <c r="P41" i="13"/>
  <c r="Q41" i="13" s="1"/>
  <c r="G41" i="13"/>
  <c r="P40" i="13"/>
  <c r="Q40" i="13" s="1"/>
  <c r="G40" i="13"/>
  <c r="Q39" i="13"/>
  <c r="P39" i="13"/>
  <c r="G39" i="13"/>
  <c r="Q38" i="13"/>
  <c r="P38" i="13"/>
  <c r="G38" i="13"/>
  <c r="P37" i="13"/>
  <c r="Q37" i="13" s="1"/>
  <c r="G37" i="13"/>
  <c r="P36" i="13"/>
  <c r="Q36" i="13" s="1"/>
  <c r="G36" i="13"/>
  <c r="Q35" i="13"/>
  <c r="P35" i="13"/>
  <c r="G35" i="13"/>
  <c r="Q34" i="13"/>
  <c r="P34" i="13"/>
  <c r="G34" i="13"/>
  <c r="P33" i="13"/>
  <c r="Q33" i="13" s="1"/>
  <c r="G33" i="13"/>
  <c r="P32" i="13"/>
  <c r="Q32" i="13" s="1"/>
  <c r="G32" i="13"/>
  <c r="Q31" i="13"/>
  <c r="P31" i="13"/>
  <c r="G31" i="13"/>
  <c r="Q30" i="13"/>
  <c r="P30" i="13"/>
  <c r="G30" i="13"/>
  <c r="P29" i="13"/>
  <c r="Q29" i="13" s="1"/>
  <c r="G29" i="13"/>
  <c r="P28" i="13"/>
  <c r="Q28" i="13" s="1"/>
  <c r="G28" i="13"/>
  <c r="Q27" i="13"/>
  <c r="P27" i="13"/>
  <c r="G27" i="13"/>
  <c r="Q26" i="13"/>
  <c r="P26" i="13"/>
  <c r="G26" i="13"/>
  <c r="P25" i="13"/>
  <c r="Q25" i="13" s="1"/>
  <c r="G25" i="13"/>
  <c r="P24" i="13"/>
  <c r="Q24" i="13" s="1"/>
  <c r="G24" i="13"/>
  <c r="Q23" i="13"/>
  <c r="P23" i="13"/>
  <c r="G23" i="13"/>
  <c r="Q22" i="13"/>
  <c r="P22" i="13"/>
  <c r="G22" i="13"/>
  <c r="P21" i="13"/>
  <c r="Q21" i="13" s="1"/>
  <c r="G21" i="13"/>
  <c r="P20" i="13"/>
  <c r="Q20" i="13" s="1"/>
  <c r="G20" i="13"/>
  <c r="Q19" i="13"/>
  <c r="P19" i="13"/>
  <c r="G19" i="13"/>
  <c r="Q18" i="13"/>
  <c r="P18" i="13"/>
  <c r="G18" i="13"/>
  <c r="P17" i="13"/>
  <c r="Q17" i="13" s="1"/>
  <c r="G17" i="13"/>
  <c r="P16" i="13"/>
  <c r="Q16" i="13" s="1"/>
  <c r="G16" i="13"/>
  <c r="Q15" i="13"/>
  <c r="P15" i="13"/>
  <c r="G15" i="13"/>
  <c r="Q14" i="13"/>
  <c r="P14" i="13"/>
  <c r="G14" i="13"/>
  <c r="P13" i="13"/>
  <c r="Q13" i="13" s="1"/>
  <c r="G13" i="13"/>
  <c r="P12" i="13"/>
  <c r="Q12" i="13" s="1"/>
  <c r="G12" i="13"/>
  <c r="Q11" i="13"/>
  <c r="P11" i="13"/>
  <c r="G11" i="13"/>
  <c r="Q10" i="13"/>
  <c r="P10" i="13"/>
  <c r="G10" i="13"/>
  <c r="P9" i="13"/>
  <c r="Q9" i="13" s="1"/>
  <c r="G9" i="13"/>
  <c r="P8" i="13"/>
  <c r="Q8" i="13" s="1"/>
  <c r="G8" i="13"/>
  <c r="Q7" i="13"/>
  <c r="P7" i="13"/>
  <c r="G7" i="13"/>
  <c r="Q6" i="13"/>
  <c r="P6" i="13"/>
  <c r="G6" i="13"/>
  <c r="P5" i="13"/>
  <c r="Q5" i="13" s="1"/>
  <c r="G5" i="13"/>
  <c r="Q105" i="13" l="1"/>
  <c r="Q106" i="13" s="1"/>
  <c r="O104" i="12" l="1"/>
  <c r="Q104" i="12" s="1"/>
  <c r="R104" i="12" s="1"/>
  <c r="F104" i="12"/>
  <c r="O103" i="12"/>
  <c r="Q103" i="12" s="1"/>
  <c r="R103" i="12" s="1"/>
  <c r="F103" i="12"/>
  <c r="O102" i="12"/>
  <c r="Q102" i="12" s="1"/>
  <c r="R102" i="12" s="1"/>
  <c r="F102" i="12"/>
  <c r="O101" i="12"/>
  <c r="Q101" i="12" s="1"/>
  <c r="R101" i="12" s="1"/>
  <c r="F101" i="12"/>
  <c r="O100" i="12"/>
  <c r="Q100" i="12" s="1"/>
  <c r="R100" i="12" s="1"/>
  <c r="F100" i="12"/>
  <c r="O99" i="12"/>
  <c r="Q99" i="12" s="1"/>
  <c r="R99" i="12" s="1"/>
  <c r="F99" i="12"/>
  <c r="O98" i="12"/>
  <c r="Q98" i="12" s="1"/>
  <c r="R98" i="12" s="1"/>
  <c r="F98" i="12"/>
  <c r="O97" i="12"/>
  <c r="Q97" i="12" s="1"/>
  <c r="R97" i="12" s="1"/>
  <c r="F97" i="12"/>
  <c r="O96" i="12"/>
  <c r="Q96" i="12" s="1"/>
  <c r="R96" i="12" s="1"/>
  <c r="F96" i="12"/>
  <c r="O95" i="12"/>
  <c r="Q95" i="12" s="1"/>
  <c r="R95" i="12" s="1"/>
  <c r="F95" i="12"/>
  <c r="O94" i="12"/>
  <c r="Q94" i="12" s="1"/>
  <c r="R94" i="12" s="1"/>
  <c r="F94" i="12"/>
  <c r="O93" i="12"/>
  <c r="Q93" i="12" s="1"/>
  <c r="R93" i="12" s="1"/>
  <c r="F93" i="12"/>
  <c r="O92" i="12"/>
  <c r="Q92" i="12" s="1"/>
  <c r="R92" i="12" s="1"/>
  <c r="F92" i="12"/>
  <c r="O91" i="12"/>
  <c r="Q91" i="12" s="1"/>
  <c r="R91" i="12" s="1"/>
  <c r="F91" i="12"/>
  <c r="O90" i="12"/>
  <c r="Q90" i="12" s="1"/>
  <c r="R90" i="12" s="1"/>
  <c r="F90" i="12"/>
  <c r="O89" i="12"/>
  <c r="Q89" i="12" s="1"/>
  <c r="R89" i="12" s="1"/>
  <c r="F89" i="12"/>
  <c r="O88" i="12"/>
  <c r="Q88" i="12" s="1"/>
  <c r="R88" i="12" s="1"/>
  <c r="F88" i="12"/>
  <c r="O87" i="12"/>
  <c r="Q87" i="12" s="1"/>
  <c r="R87" i="12" s="1"/>
  <c r="F87" i="12"/>
  <c r="O86" i="12"/>
  <c r="Q86" i="12" s="1"/>
  <c r="R86" i="12" s="1"/>
  <c r="F86" i="12"/>
  <c r="O85" i="12"/>
  <c r="Q85" i="12" s="1"/>
  <c r="R85" i="12" s="1"/>
  <c r="F85" i="12"/>
  <c r="O84" i="12"/>
  <c r="Q84" i="12" s="1"/>
  <c r="R84" i="12" s="1"/>
  <c r="F84" i="12"/>
  <c r="O83" i="12"/>
  <c r="Q83" i="12" s="1"/>
  <c r="R83" i="12" s="1"/>
  <c r="F83" i="12"/>
  <c r="O82" i="12"/>
  <c r="Q82" i="12" s="1"/>
  <c r="R82" i="12" s="1"/>
  <c r="F82" i="12"/>
  <c r="O81" i="12"/>
  <c r="Q81" i="12" s="1"/>
  <c r="R81" i="12" s="1"/>
  <c r="F81" i="12"/>
  <c r="O80" i="12"/>
  <c r="Q80" i="12" s="1"/>
  <c r="R80" i="12" s="1"/>
  <c r="F80" i="12"/>
  <c r="O79" i="12"/>
  <c r="Q79" i="12" s="1"/>
  <c r="R79" i="12" s="1"/>
  <c r="F79" i="12"/>
  <c r="O78" i="12"/>
  <c r="Q78" i="12" s="1"/>
  <c r="R78" i="12" s="1"/>
  <c r="F78" i="12"/>
  <c r="O77" i="12"/>
  <c r="Q77" i="12" s="1"/>
  <c r="R77" i="12" s="1"/>
  <c r="F77" i="12"/>
  <c r="O76" i="12"/>
  <c r="Q76" i="12" s="1"/>
  <c r="R76" i="12" s="1"/>
  <c r="F76" i="12"/>
  <c r="O75" i="12"/>
  <c r="Q75" i="12" s="1"/>
  <c r="R75" i="12" s="1"/>
  <c r="F75" i="12"/>
  <c r="O74" i="12"/>
  <c r="Q74" i="12" s="1"/>
  <c r="R74" i="12" s="1"/>
  <c r="F74" i="12"/>
  <c r="O73" i="12"/>
  <c r="Q73" i="12" s="1"/>
  <c r="R73" i="12" s="1"/>
  <c r="F73" i="12"/>
  <c r="O72" i="12"/>
  <c r="Q72" i="12" s="1"/>
  <c r="R72" i="12" s="1"/>
  <c r="F72" i="12"/>
  <c r="O71" i="12"/>
  <c r="Q71" i="12" s="1"/>
  <c r="R71" i="12" s="1"/>
  <c r="F71" i="12"/>
  <c r="O70" i="12"/>
  <c r="Q70" i="12" s="1"/>
  <c r="R70" i="12" s="1"/>
  <c r="F70" i="12"/>
  <c r="O69" i="12"/>
  <c r="Q69" i="12" s="1"/>
  <c r="R69" i="12" s="1"/>
  <c r="F69" i="12"/>
  <c r="O68" i="12"/>
  <c r="Q68" i="12" s="1"/>
  <c r="R68" i="12" s="1"/>
  <c r="F68" i="12"/>
  <c r="O67" i="12"/>
  <c r="Q67" i="12" s="1"/>
  <c r="R67" i="12" s="1"/>
  <c r="F67" i="12"/>
  <c r="O66" i="12"/>
  <c r="Q66" i="12" s="1"/>
  <c r="R66" i="12" s="1"/>
  <c r="F66" i="12"/>
  <c r="O65" i="12"/>
  <c r="Q65" i="12" s="1"/>
  <c r="R65" i="12" s="1"/>
  <c r="F65" i="12"/>
  <c r="O64" i="12"/>
  <c r="Q64" i="12" s="1"/>
  <c r="R64" i="12" s="1"/>
  <c r="F64" i="12"/>
  <c r="O63" i="12"/>
  <c r="Q63" i="12" s="1"/>
  <c r="R63" i="12" s="1"/>
  <c r="F63" i="12"/>
  <c r="O62" i="12"/>
  <c r="Q62" i="12" s="1"/>
  <c r="R62" i="12" s="1"/>
  <c r="F62" i="12"/>
  <c r="O61" i="12"/>
  <c r="Q61" i="12" s="1"/>
  <c r="R61" i="12" s="1"/>
  <c r="F61" i="12"/>
  <c r="O60" i="12"/>
  <c r="Q60" i="12" s="1"/>
  <c r="R60" i="12" s="1"/>
  <c r="F60" i="12"/>
  <c r="O59" i="12"/>
  <c r="Q59" i="12" s="1"/>
  <c r="R59" i="12" s="1"/>
  <c r="F59" i="12"/>
  <c r="O58" i="12"/>
  <c r="Q58" i="12" s="1"/>
  <c r="R58" i="12" s="1"/>
  <c r="F58" i="12"/>
  <c r="O57" i="12"/>
  <c r="Q57" i="12" s="1"/>
  <c r="R57" i="12" s="1"/>
  <c r="F57" i="12"/>
  <c r="O56" i="12"/>
  <c r="Q56" i="12" s="1"/>
  <c r="R56" i="12" s="1"/>
  <c r="F56" i="12"/>
  <c r="O55" i="12"/>
  <c r="Q55" i="12" s="1"/>
  <c r="R55" i="12" s="1"/>
  <c r="F55" i="12"/>
  <c r="O54" i="12"/>
  <c r="Q54" i="12" s="1"/>
  <c r="R54" i="12" s="1"/>
  <c r="F54" i="12"/>
  <c r="O53" i="12"/>
  <c r="Q53" i="12" s="1"/>
  <c r="R53" i="12" s="1"/>
  <c r="F53" i="12"/>
  <c r="O52" i="12"/>
  <c r="Q52" i="12" s="1"/>
  <c r="R52" i="12" s="1"/>
  <c r="F52" i="12"/>
  <c r="O51" i="12"/>
  <c r="Q51" i="12" s="1"/>
  <c r="R51" i="12" s="1"/>
  <c r="F51" i="12"/>
  <c r="O50" i="12"/>
  <c r="Q50" i="12" s="1"/>
  <c r="R50" i="12" s="1"/>
  <c r="F50" i="12"/>
  <c r="O49" i="12"/>
  <c r="Q49" i="12" s="1"/>
  <c r="R49" i="12" s="1"/>
  <c r="F49" i="12"/>
  <c r="O48" i="12"/>
  <c r="Q48" i="12" s="1"/>
  <c r="R48" i="12" s="1"/>
  <c r="F48" i="12"/>
  <c r="O47" i="12"/>
  <c r="Q47" i="12" s="1"/>
  <c r="R47" i="12" s="1"/>
  <c r="F47" i="12"/>
  <c r="O46" i="12"/>
  <c r="Q46" i="12" s="1"/>
  <c r="R46" i="12" s="1"/>
  <c r="F46" i="12"/>
  <c r="O45" i="12"/>
  <c r="Q45" i="12" s="1"/>
  <c r="R45" i="12" s="1"/>
  <c r="F45" i="12"/>
  <c r="O44" i="12"/>
  <c r="Q44" i="12" s="1"/>
  <c r="R44" i="12" s="1"/>
  <c r="F44" i="12"/>
  <c r="O43" i="12"/>
  <c r="Q43" i="12" s="1"/>
  <c r="R43" i="12" s="1"/>
  <c r="F43" i="12"/>
  <c r="O42" i="12"/>
  <c r="Q42" i="12" s="1"/>
  <c r="R42" i="12" s="1"/>
  <c r="F42" i="12"/>
  <c r="O41" i="12"/>
  <c r="Q41" i="12" s="1"/>
  <c r="R41" i="12" s="1"/>
  <c r="F41" i="12"/>
  <c r="O40" i="12"/>
  <c r="Q40" i="12" s="1"/>
  <c r="R40" i="12" s="1"/>
  <c r="F40" i="12"/>
  <c r="O39" i="12"/>
  <c r="Q39" i="12" s="1"/>
  <c r="R39" i="12" s="1"/>
  <c r="F39" i="12"/>
  <c r="O38" i="12"/>
  <c r="Q38" i="12" s="1"/>
  <c r="R38" i="12" s="1"/>
  <c r="F38" i="12"/>
  <c r="O37" i="12"/>
  <c r="Q37" i="12" s="1"/>
  <c r="R37" i="12" s="1"/>
  <c r="F37" i="12"/>
  <c r="O36" i="12"/>
  <c r="Q36" i="12" s="1"/>
  <c r="R36" i="12" s="1"/>
  <c r="F36" i="12"/>
  <c r="O35" i="12"/>
  <c r="Q35" i="12" s="1"/>
  <c r="R35" i="12" s="1"/>
  <c r="F35" i="12"/>
  <c r="O34" i="12"/>
  <c r="Q34" i="12" s="1"/>
  <c r="R34" i="12" s="1"/>
  <c r="F34" i="12"/>
  <c r="O33" i="12"/>
  <c r="Q33" i="12" s="1"/>
  <c r="R33" i="12" s="1"/>
  <c r="F33" i="12"/>
  <c r="O32" i="12"/>
  <c r="Q32" i="12" s="1"/>
  <c r="R32" i="12" s="1"/>
  <c r="F32" i="12"/>
  <c r="O31" i="12"/>
  <c r="Q31" i="12" s="1"/>
  <c r="R31" i="12" s="1"/>
  <c r="F31" i="12"/>
  <c r="O30" i="12"/>
  <c r="Q30" i="12" s="1"/>
  <c r="R30" i="12" s="1"/>
  <c r="F30" i="12"/>
  <c r="O29" i="12"/>
  <c r="Q29" i="12" s="1"/>
  <c r="R29" i="12" s="1"/>
  <c r="F29" i="12"/>
  <c r="O28" i="12"/>
  <c r="Q28" i="12" s="1"/>
  <c r="R28" i="12" s="1"/>
  <c r="F28" i="12"/>
  <c r="O27" i="12"/>
  <c r="Q27" i="12" s="1"/>
  <c r="R27" i="12" s="1"/>
  <c r="F27" i="12"/>
  <c r="O26" i="12"/>
  <c r="Q26" i="12" s="1"/>
  <c r="R26" i="12" s="1"/>
  <c r="F26" i="12"/>
  <c r="O25" i="12"/>
  <c r="Q25" i="12" s="1"/>
  <c r="R25" i="12" s="1"/>
  <c r="F25" i="12"/>
  <c r="O24" i="12"/>
  <c r="Q24" i="12" s="1"/>
  <c r="R24" i="12" s="1"/>
  <c r="F24" i="12"/>
  <c r="O23" i="12"/>
  <c r="Q23" i="12" s="1"/>
  <c r="R23" i="12" s="1"/>
  <c r="F23" i="12"/>
  <c r="O22" i="12"/>
  <c r="Q22" i="12" s="1"/>
  <c r="R22" i="12" s="1"/>
  <c r="F22" i="12"/>
  <c r="O21" i="12"/>
  <c r="Q21" i="12" s="1"/>
  <c r="R21" i="12" s="1"/>
  <c r="F21" i="12"/>
  <c r="Q20" i="12"/>
  <c r="R20" i="12" s="1"/>
  <c r="O20" i="12"/>
  <c r="F20" i="12"/>
  <c r="Q19" i="12"/>
  <c r="R19" i="12" s="1"/>
  <c r="O19" i="12"/>
  <c r="F19" i="12"/>
  <c r="Q18" i="12"/>
  <c r="R18" i="12" s="1"/>
  <c r="O18" i="12"/>
  <c r="F18" i="12"/>
  <c r="Q17" i="12"/>
  <c r="R17" i="12" s="1"/>
  <c r="O17" i="12"/>
  <c r="F17" i="12"/>
  <c r="Q16" i="12"/>
  <c r="R16" i="12" s="1"/>
  <c r="O16" i="12"/>
  <c r="F16" i="12"/>
  <c r="Q15" i="12"/>
  <c r="R15" i="12" s="1"/>
  <c r="O15" i="12"/>
  <c r="F15" i="12"/>
  <c r="Q14" i="12"/>
  <c r="R14" i="12" s="1"/>
  <c r="O14" i="12"/>
  <c r="F14" i="12"/>
  <c r="Q13" i="12"/>
  <c r="R13" i="12" s="1"/>
  <c r="O13" i="12"/>
  <c r="F13" i="12"/>
  <c r="Q12" i="12"/>
  <c r="R12" i="12" s="1"/>
  <c r="O12" i="12"/>
  <c r="F12" i="12"/>
  <c r="Q11" i="12"/>
  <c r="R11" i="12" s="1"/>
  <c r="O11" i="12"/>
  <c r="F11" i="12"/>
  <c r="Q10" i="12"/>
  <c r="R10" i="12" s="1"/>
  <c r="O10" i="12"/>
  <c r="F10" i="12"/>
  <c r="Q9" i="12"/>
  <c r="R9" i="12" s="1"/>
  <c r="O9" i="12"/>
  <c r="F9" i="12"/>
  <c r="Q8" i="12"/>
  <c r="R8" i="12" s="1"/>
  <c r="O8" i="12"/>
  <c r="F8" i="12"/>
  <c r="Q7" i="12"/>
  <c r="R7" i="12" s="1"/>
  <c r="O7" i="12"/>
  <c r="F7" i="12"/>
  <c r="Q6" i="12"/>
  <c r="R6" i="12" s="1"/>
  <c r="O6" i="12"/>
  <c r="F6" i="12"/>
  <c r="Q5" i="12"/>
  <c r="R5" i="12" s="1"/>
  <c r="O5" i="12"/>
  <c r="O105" i="12" s="1"/>
  <c r="O106" i="12" s="1"/>
  <c r="F5" i="12"/>
  <c r="R105" i="12" l="1"/>
  <c r="R106" i="12" s="1"/>
  <c r="J154" i="11" l="1"/>
  <c r="I154" i="11"/>
  <c r="H154" i="11"/>
  <c r="G154" i="11"/>
  <c r="K105" i="11"/>
  <c r="K106" i="11" s="1"/>
  <c r="R104" i="11"/>
  <c r="Q104" i="11"/>
  <c r="O104" i="11"/>
  <c r="Q103" i="11"/>
  <c r="R103" i="11" s="1"/>
  <c r="O103" i="11"/>
  <c r="F103" i="11"/>
  <c r="Q102" i="11"/>
  <c r="R102" i="11" s="1"/>
  <c r="O102" i="11"/>
  <c r="Q101" i="11"/>
  <c r="R101" i="11" s="1"/>
  <c r="O101" i="11"/>
  <c r="F101" i="11"/>
  <c r="Q100" i="11"/>
  <c r="R100" i="11" s="1"/>
  <c r="O100" i="11"/>
  <c r="F100" i="11"/>
  <c r="Q99" i="11"/>
  <c r="R99" i="11" s="1"/>
  <c r="O99" i="11"/>
  <c r="F99" i="11"/>
  <c r="Q98" i="11"/>
  <c r="R98" i="11" s="1"/>
  <c r="O98" i="11"/>
  <c r="F98" i="11"/>
  <c r="Q97" i="11"/>
  <c r="R97" i="11" s="1"/>
  <c r="O97" i="11"/>
  <c r="F97" i="11"/>
  <c r="Q96" i="11"/>
  <c r="R96" i="11" s="1"/>
  <c r="O96" i="11"/>
  <c r="F96" i="11"/>
  <c r="Q95" i="11"/>
  <c r="R95" i="11" s="1"/>
  <c r="O95" i="11"/>
  <c r="F95" i="11"/>
  <c r="Q94" i="11"/>
  <c r="R94" i="11" s="1"/>
  <c r="O94" i="11"/>
  <c r="F94" i="11"/>
  <c r="Q93" i="11"/>
  <c r="R93" i="11" s="1"/>
  <c r="O93" i="11"/>
  <c r="F93" i="11"/>
  <c r="Q92" i="11"/>
  <c r="R92" i="11" s="1"/>
  <c r="O92" i="11"/>
  <c r="F92" i="11"/>
  <c r="Q91" i="11"/>
  <c r="R91" i="11" s="1"/>
  <c r="O91" i="11"/>
  <c r="F91" i="11"/>
  <c r="Q90" i="11"/>
  <c r="R90" i="11" s="1"/>
  <c r="O90" i="11"/>
  <c r="F90" i="11"/>
  <c r="Q89" i="11"/>
  <c r="R89" i="11" s="1"/>
  <c r="O89" i="11"/>
  <c r="F89" i="11"/>
  <c r="Q88" i="11"/>
  <c r="R88" i="11" s="1"/>
  <c r="O88" i="11"/>
  <c r="F88" i="11"/>
  <c r="Q87" i="11"/>
  <c r="R87" i="11" s="1"/>
  <c r="O87" i="11"/>
  <c r="F87" i="11"/>
  <c r="Q86" i="11"/>
  <c r="R86" i="11" s="1"/>
  <c r="O86" i="11"/>
  <c r="F86" i="11"/>
  <c r="Q85" i="11"/>
  <c r="R85" i="11" s="1"/>
  <c r="O85" i="11"/>
  <c r="F85" i="11"/>
  <c r="Q84" i="11"/>
  <c r="R84" i="11" s="1"/>
  <c r="O84" i="11"/>
  <c r="F84" i="11"/>
  <c r="Q83" i="11"/>
  <c r="R83" i="11" s="1"/>
  <c r="O83" i="11"/>
  <c r="F83" i="11"/>
  <c r="Q82" i="11"/>
  <c r="R82" i="11" s="1"/>
  <c r="O82" i="11"/>
  <c r="F82" i="11"/>
  <c r="Q81" i="11"/>
  <c r="R81" i="11" s="1"/>
  <c r="O81" i="11"/>
  <c r="F81" i="11"/>
  <c r="Q80" i="11"/>
  <c r="R80" i="11" s="1"/>
  <c r="O80" i="11"/>
  <c r="F80" i="11"/>
  <c r="Q79" i="11"/>
  <c r="R79" i="11" s="1"/>
  <c r="O79" i="11"/>
  <c r="F79" i="11"/>
  <c r="Q78" i="11"/>
  <c r="R78" i="11" s="1"/>
  <c r="O78" i="11"/>
  <c r="F78" i="11"/>
  <c r="Q77" i="11"/>
  <c r="R77" i="11" s="1"/>
  <c r="O77" i="11"/>
  <c r="F77" i="11"/>
  <c r="Q76" i="11"/>
  <c r="R76" i="11" s="1"/>
  <c r="O76" i="11"/>
  <c r="F76" i="11"/>
  <c r="Q75" i="11"/>
  <c r="R75" i="11" s="1"/>
  <c r="O75" i="11"/>
  <c r="F75" i="11"/>
  <c r="Q74" i="11"/>
  <c r="R74" i="11" s="1"/>
  <c r="O74" i="11"/>
  <c r="F74" i="11"/>
  <c r="Q73" i="11"/>
  <c r="R73" i="11" s="1"/>
  <c r="O73" i="11"/>
  <c r="F73" i="11"/>
  <c r="Q72" i="11"/>
  <c r="R72" i="11" s="1"/>
  <c r="O72" i="11"/>
  <c r="F72" i="11"/>
  <c r="Q71" i="11"/>
  <c r="R71" i="11" s="1"/>
  <c r="O71" i="11"/>
  <c r="F71" i="11"/>
  <c r="Q70" i="11"/>
  <c r="R70" i="11" s="1"/>
  <c r="O70" i="11"/>
  <c r="F70" i="11"/>
  <c r="Q69" i="11"/>
  <c r="R69" i="11" s="1"/>
  <c r="O69" i="11"/>
  <c r="F69" i="11"/>
  <c r="Q68" i="11"/>
  <c r="R68" i="11" s="1"/>
  <c r="O68" i="11"/>
  <c r="F68" i="11"/>
  <c r="Q67" i="11"/>
  <c r="R67" i="11" s="1"/>
  <c r="O67" i="11"/>
  <c r="F67" i="11"/>
  <c r="Q66" i="11"/>
  <c r="R66" i="11" s="1"/>
  <c r="O66" i="11"/>
  <c r="F66" i="11"/>
  <c r="Q65" i="11"/>
  <c r="R65" i="11" s="1"/>
  <c r="O65" i="11"/>
  <c r="F65" i="11"/>
  <c r="Q64" i="11"/>
  <c r="R64" i="11" s="1"/>
  <c r="O64" i="11"/>
  <c r="F64" i="11"/>
  <c r="Q63" i="11"/>
  <c r="R63" i="11" s="1"/>
  <c r="O63" i="11"/>
  <c r="F63" i="11"/>
  <c r="Q62" i="11"/>
  <c r="R62" i="11" s="1"/>
  <c r="O62" i="11"/>
  <c r="F62" i="11"/>
  <c r="Q61" i="11"/>
  <c r="R61" i="11" s="1"/>
  <c r="O61" i="11"/>
  <c r="F61" i="11"/>
  <c r="Q60" i="11"/>
  <c r="R60" i="11" s="1"/>
  <c r="O60" i="11"/>
  <c r="F60" i="11"/>
  <c r="Q59" i="11"/>
  <c r="R59" i="11" s="1"/>
  <c r="O59" i="11"/>
  <c r="F59" i="11"/>
  <c r="Q58" i="11"/>
  <c r="R58" i="11" s="1"/>
  <c r="O58" i="11"/>
  <c r="F58" i="11"/>
  <c r="Q57" i="11"/>
  <c r="R57" i="11" s="1"/>
  <c r="O57" i="11"/>
  <c r="F57" i="11"/>
  <c r="Q56" i="11"/>
  <c r="R56" i="11" s="1"/>
  <c r="O56" i="11"/>
  <c r="F56" i="11"/>
  <c r="Q55" i="11"/>
  <c r="R55" i="11" s="1"/>
  <c r="O55" i="11"/>
  <c r="F55" i="11"/>
  <c r="Q54" i="11"/>
  <c r="R54" i="11" s="1"/>
  <c r="O54" i="11"/>
  <c r="F54" i="11"/>
  <c r="Q53" i="11"/>
  <c r="R53" i="11" s="1"/>
  <c r="O53" i="11"/>
  <c r="F53" i="11"/>
  <c r="Q52" i="11"/>
  <c r="R52" i="11" s="1"/>
  <c r="O52" i="11"/>
  <c r="F52" i="11"/>
  <c r="Q51" i="11"/>
  <c r="R51" i="11" s="1"/>
  <c r="O51" i="11"/>
  <c r="F51" i="11"/>
  <c r="Q50" i="11"/>
  <c r="R50" i="11" s="1"/>
  <c r="O50" i="11"/>
  <c r="F50" i="11"/>
  <c r="Q49" i="11"/>
  <c r="R49" i="11" s="1"/>
  <c r="O49" i="11"/>
  <c r="F49" i="11"/>
  <c r="Q48" i="11"/>
  <c r="R48" i="11" s="1"/>
  <c r="O48" i="11"/>
  <c r="F48" i="11"/>
  <c r="Q47" i="11"/>
  <c r="R47" i="11" s="1"/>
  <c r="O47" i="11"/>
  <c r="F47" i="11"/>
  <c r="Q46" i="11"/>
  <c r="R46" i="11" s="1"/>
  <c r="O46" i="11"/>
  <c r="F46" i="11"/>
  <c r="Q45" i="11"/>
  <c r="R45" i="11" s="1"/>
  <c r="O45" i="11"/>
  <c r="F45" i="11"/>
  <c r="Q44" i="11"/>
  <c r="R44" i="11" s="1"/>
  <c r="O44" i="11"/>
  <c r="F44" i="11"/>
  <c r="Q43" i="11"/>
  <c r="R43" i="11" s="1"/>
  <c r="O43" i="11"/>
  <c r="F43" i="11"/>
  <c r="Q42" i="11"/>
  <c r="R42" i="11" s="1"/>
  <c r="O42" i="11"/>
  <c r="F42" i="11"/>
  <c r="Q41" i="11"/>
  <c r="R41" i="11" s="1"/>
  <c r="O41" i="11"/>
  <c r="F41" i="11"/>
  <c r="Q40" i="11"/>
  <c r="R40" i="11" s="1"/>
  <c r="O40" i="11"/>
  <c r="F40" i="11"/>
  <c r="Q39" i="11"/>
  <c r="R39" i="11" s="1"/>
  <c r="O39" i="11"/>
  <c r="F39" i="11"/>
  <c r="Q38" i="11"/>
  <c r="R38" i="11" s="1"/>
  <c r="O38" i="11"/>
  <c r="F38" i="11"/>
  <c r="Q37" i="11"/>
  <c r="R37" i="11" s="1"/>
  <c r="O37" i="11"/>
  <c r="F37" i="11"/>
  <c r="Q36" i="11"/>
  <c r="R36" i="11" s="1"/>
  <c r="O36" i="11"/>
  <c r="F36" i="11"/>
  <c r="Q35" i="11"/>
  <c r="R35" i="11" s="1"/>
  <c r="O35" i="11"/>
  <c r="F35" i="11"/>
  <c r="Q34" i="11"/>
  <c r="R34" i="11" s="1"/>
  <c r="O34" i="11"/>
  <c r="F34" i="11"/>
  <c r="Q33" i="11"/>
  <c r="R33" i="11" s="1"/>
  <c r="O33" i="11"/>
  <c r="R32" i="11"/>
  <c r="Q32" i="11"/>
  <c r="O32" i="11"/>
  <c r="F32" i="11"/>
  <c r="R31" i="11"/>
  <c r="Q31" i="11"/>
  <c r="O31" i="11"/>
  <c r="F31" i="11"/>
  <c r="R30" i="11"/>
  <c r="Q30" i="11"/>
  <c r="O30" i="11"/>
  <c r="F30" i="11"/>
  <c r="R29" i="11"/>
  <c r="Q29" i="11"/>
  <c r="O29" i="11"/>
  <c r="F29" i="11"/>
  <c r="R28" i="11"/>
  <c r="Q28" i="11"/>
  <c r="O28" i="11"/>
  <c r="F28" i="11"/>
  <c r="R27" i="11"/>
  <c r="Q27" i="11"/>
  <c r="O27" i="11"/>
  <c r="F27" i="11"/>
  <c r="R26" i="11"/>
  <c r="Q26" i="11"/>
  <c r="O26" i="11"/>
  <c r="F26" i="11"/>
  <c r="R25" i="11"/>
  <c r="Q25" i="11"/>
  <c r="O25" i="11"/>
  <c r="F25" i="11"/>
  <c r="R24" i="11"/>
  <c r="Q24" i="11"/>
  <c r="O24" i="11"/>
  <c r="F24" i="11"/>
  <c r="R23" i="11"/>
  <c r="Q23" i="11"/>
  <c r="O23" i="11"/>
  <c r="F23" i="11"/>
  <c r="R22" i="11"/>
  <c r="Q22" i="11"/>
  <c r="O22" i="11"/>
  <c r="F22" i="11"/>
  <c r="R21" i="11"/>
  <c r="Q21" i="11"/>
  <c r="O21" i="11"/>
  <c r="F21" i="11"/>
  <c r="R20" i="11"/>
  <c r="Q20" i="11"/>
  <c r="O20" i="11"/>
  <c r="F20" i="11"/>
  <c r="R19" i="11"/>
  <c r="Q19" i="11"/>
  <c r="O19" i="11"/>
  <c r="F19" i="11"/>
  <c r="R18" i="11"/>
  <c r="Q18" i="11"/>
  <c r="O18" i="11"/>
  <c r="F18" i="11"/>
  <c r="R17" i="11"/>
  <c r="Q17" i="11"/>
  <c r="O17" i="11"/>
  <c r="F17" i="11"/>
  <c r="R16" i="11"/>
  <c r="Q16" i="11"/>
  <c r="O16" i="11"/>
  <c r="F16" i="11"/>
  <c r="R15" i="11"/>
  <c r="Q15" i="11"/>
  <c r="O15" i="11"/>
  <c r="F15" i="11"/>
  <c r="R14" i="11"/>
  <c r="Q14" i="11"/>
  <c r="O14" i="11"/>
  <c r="F14" i="11"/>
  <c r="R13" i="11"/>
  <c r="Q13" i="11"/>
  <c r="O13" i="11"/>
  <c r="F13" i="11"/>
  <c r="R12" i="11"/>
  <c r="Q12" i="11"/>
  <c r="O12" i="11"/>
  <c r="F12" i="11"/>
  <c r="R11" i="11"/>
  <c r="Q11" i="11"/>
  <c r="O11" i="11"/>
  <c r="F11" i="11"/>
  <c r="R10" i="11"/>
  <c r="Q10" i="11"/>
  <c r="O10" i="11"/>
  <c r="F10" i="11"/>
  <c r="R9" i="11"/>
  <c r="Q9" i="11"/>
  <c r="O9" i="11"/>
  <c r="F9" i="11"/>
  <c r="R8" i="11"/>
  <c r="Q8" i="11"/>
  <c r="O8" i="11"/>
  <c r="F8" i="11"/>
  <c r="R7" i="11"/>
  <c r="Q7" i="11"/>
  <c r="O7" i="11"/>
  <c r="F7" i="11"/>
  <c r="R6" i="11"/>
  <c r="R105" i="11" s="1"/>
  <c r="R106" i="11" s="1"/>
  <c r="R107" i="11" s="1"/>
  <c r="Q6" i="11"/>
  <c r="O6" i="11"/>
  <c r="R5" i="11"/>
  <c r="Q5" i="11"/>
  <c r="O5" i="11"/>
  <c r="F5" i="11"/>
  <c r="F104" i="9" l="1"/>
  <c r="F103" i="9"/>
  <c r="F102" i="9"/>
  <c r="F101" i="9"/>
  <c r="F100" i="9"/>
  <c r="F99" i="9"/>
  <c r="F98" i="9"/>
  <c r="F97" i="9"/>
  <c r="F96" i="9"/>
  <c r="F95" i="9"/>
  <c r="F94" i="9"/>
  <c r="F93" i="9"/>
  <c r="F92" i="9"/>
  <c r="F91" i="9"/>
  <c r="F90" i="9"/>
  <c r="F89" i="9"/>
  <c r="F88" i="9"/>
  <c r="F87" i="9"/>
  <c r="F86" i="9"/>
  <c r="F85" i="9"/>
  <c r="F84" i="9"/>
  <c r="F83" i="9"/>
  <c r="F82" i="9"/>
  <c r="F81" i="9"/>
  <c r="F80" i="9"/>
  <c r="F79" i="9"/>
  <c r="F78" i="9"/>
  <c r="F77" i="9"/>
  <c r="F76" i="9"/>
  <c r="F74" i="9"/>
  <c r="F73" i="9"/>
  <c r="F72" i="9"/>
  <c r="F71" i="9"/>
  <c r="F70" i="9"/>
  <c r="F69" i="9"/>
  <c r="F68" i="9"/>
  <c r="F67" i="9"/>
  <c r="F66" i="9"/>
  <c r="F65" i="9"/>
  <c r="F64" i="9"/>
  <c r="F63" i="9"/>
  <c r="F62" i="9"/>
  <c r="F60" i="9"/>
  <c r="F59" i="9"/>
  <c r="F58" i="9"/>
  <c r="F57" i="9"/>
  <c r="F56" i="9"/>
  <c r="F55" i="9"/>
</calcChain>
</file>

<file path=xl/sharedStrings.xml><?xml version="1.0" encoding="utf-8"?>
<sst xmlns="http://schemas.openxmlformats.org/spreadsheetml/2006/main" count="4284" uniqueCount="1855">
  <si>
    <t>GSLDENTAL COLLEGE &amp; HOSPITAL, RAJAHMUNDRY.</t>
  </si>
  <si>
    <t>SL.NO.</t>
  </si>
  <si>
    <t>NAME OF THE STUDENT</t>
  </si>
  <si>
    <t>DATE OF BIRTH (DD/MM/YYYY)</t>
  </si>
  <si>
    <t>SUB CATEGORYSC/ST/OBC</t>
  </si>
  <si>
    <t>PERCENTAGE(%)OF MARKS TAKEN TOGETHER IN PHYSICS, CHEMISTRY &amp; BIOLOGY IN 10+2 (QUALIFYING EXAM)</t>
  </si>
  <si>
    <t>WHETHER PASSED IN THE SUBJECT ENGLISH IN 10+2(QUALIFYING EXAM) (YES/NO)</t>
  </si>
  <si>
    <t>NEET ROLL NUMBER</t>
  </si>
  <si>
    <t>DATE OF ADMISSION (DD/MM/YYYY)</t>
  </si>
  <si>
    <t>YAJJAVARAPU PRAVALLIKA</t>
  </si>
  <si>
    <t>VAGU SAI YOSHITA</t>
  </si>
  <si>
    <t>MARELLAPUDI K  SARADA DEVI</t>
  </si>
  <si>
    <t>GORLE ANITHA KUMARI</t>
  </si>
  <si>
    <t>MEDISETTI UMA MAHESWARI</t>
  </si>
  <si>
    <t>PADALA DIVYA SRI SOUNYA</t>
  </si>
  <si>
    <t>YANAMADALA JAYA SRI</t>
  </si>
  <si>
    <t>MERUGU SRIRAM MALLIKHARJUN</t>
  </si>
  <si>
    <t>ADABALA VENKATA MURALI KRISHNA</t>
  </si>
  <si>
    <t>MEDAPUREDDY SAI GANESH</t>
  </si>
  <si>
    <t>BADATHALA VENKATA PRANAY KARTHEEK</t>
  </si>
  <si>
    <t>VIPPARTI JAHNAVI</t>
  </si>
  <si>
    <t>PAIDI KEERTHIKA</t>
  </si>
  <si>
    <t>LANKA VENKATA LAKSHMI PRANAVI</t>
  </si>
  <si>
    <t>PENKI AKHIL</t>
  </si>
  <si>
    <t>KOLLABATHULA SHEELA PRASANNA</t>
  </si>
  <si>
    <t>KALANGI RATNA SRAVANTHI</t>
  </si>
  <si>
    <t>VASA EVANGELEN MADHURI</t>
  </si>
  <si>
    <t>MOHAMMED ABDUL YASMEEN</t>
  </si>
  <si>
    <t>MUMMANA YUGASRI PRAVALLIKA</t>
  </si>
  <si>
    <t>CHIPPADA SRAVANI MANJULA</t>
  </si>
  <si>
    <t>RACHURI HARSHITHA</t>
  </si>
  <si>
    <t>CHIPPALA SOWMYA NAICKER</t>
  </si>
  <si>
    <t>10.06.2003</t>
  </si>
  <si>
    <t>OC</t>
  </si>
  <si>
    <t>Yes</t>
  </si>
  <si>
    <t>26.12.2020</t>
  </si>
  <si>
    <t>25.12.2020</t>
  </si>
  <si>
    <t>SC</t>
  </si>
  <si>
    <t>30.01.2002</t>
  </si>
  <si>
    <t>BC-D</t>
  </si>
  <si>
    <t>31.12.2001</t>
  </si>
  <si>
    <t>BC-B</t>
  </si>
  <si>
    <t>19.06.2000</t>
  </si>
  <si>
    <t>BC-A</t>
  </si>
  <si>
    <t>06.05.2001</t>
  </si>
  <si>
    <t>JALARI GREESHMA</t>
  </si>
  <si>
    <t>ST</t>
  </si>
  <si>
    <t>02.06.2001</t>
  </si>
  <si>
    <t>09.01.2021</t>
  </si>
  <si>
    <t>12.10.2000</t>
  </si>
  <si>
    <t>BC-E</t>
  </si>
  <si>
    <t>04.01.2021</t>
  </si>
  <si>
    <t>17.06.2002</t>
  </si>
  <si>
    <t>03.01.2021</t>
  </si>
  <si>
    <t>WHETHER QUALIFIED IN NEET-2020(YES/NO)</t>
  </si>
  <si>
    <t>08.09.2002</t>
  </si>
  <si>
    <t>05.05.2001</t>
  </si>
  <si>
    <t>05.01.2021</t>
  </si>
  <si>
    <t>19.04.2000</t>
  </si>
  <si>
    <t>MERCY CHRISTINA KONDURU</t>
  </si>
  <si>
    <t>04.01.2002</t>
  </si>
  <si>
    <t>BC-C</t>
  </si>
  <si>
    <t>BONAGIRI BHAVANA</t>
  </si>
  <si>
    <t>14.09.2002</t>
  </si>
  <si>
    <t xml:space="preserve">SC </t>
  </si>
  <si>
    <t>BODDU BINDU SATYA PRAMEELA</t>
  </si>
  <si>
    <t>22.10.2001</t>
  </si>
  <si>
    <t>10.06.2002</t>
  </si>
  <si>
    <t>02.01.2021</t>
  </si>
  <si>
    <t>GUTTI JUHITHA</t>
  </si>
  <si>
    <t>28.03.2003</t>
  </si>
  <si>
    <t>27.03.2001</t>
  </si>
  <si>
    <t>06.01.2021</t>
  </si>
  <si>
    <t>27.07.2002</t>
  </si>
  <si>
    <t>15.05.2001</t>
  </si>
  <si>
    <t>31.10.2000</t>
  </si>
  <si>
    <t>02.12.2001</t>
  </si>
  <si>
    <t>07.11.2000</t>
  </si>
  <si>
    <t>MUYYABOINA RAJARAJESWARI</t>
  </si>
  <si>
    <t>08.11.2000</t>
  </si>
  <si>
    <t>07.01.2021</t>
  </si>
  <si>
    <t>PALETI HIMA SWETHA</t>
  </si>
  <si>
    <t>20.07.2001</t>
  </si>
  <si>
    <t>MOGAL TABASSUM BAIG</t>
  </si>
  <si>
    <t>VENDRA BHAVYA</t>
  </si>
  <si>
    <t>08.06.2001</t>
  </si>
  <si>
    <t>15.04.2000</t>
  </si>
  <si>
    <t>22.08.2001</t>
  </si>
  <si>
    <t>22.11.2000</t>
  </si>
  <si>
    <t>VATTURI VATSALYA SAI</t>
  </si>
  <si>
    <t>17.10.2000</t>
  </si>
  <si>
    <t>22.07.2002</t>
  </si>
  <si>
    <t>PALUGULLA SAI KUMAR REDDY</t>
  </si>
  <si>
    <t>07.09.1998</t>
  </si>
  <si>
    <t>07.10.1999</t>
  </si>
  <si>
    <t>PEETHANI SANDEEPTHI</t>
  </si>
  <si>
    <t>08.04.2002</t>
  </si>
  <si>
    <t xml:space="preserve">BC-B </t>
  </si>
  <si>
    <t>28.06.2001</t>
  </si>
  <si>
    <t>18.07.2001</t>
  </si>
  <si>
    <t>04.12.2003</t>
  </si>
  <si>
    <t>26.01.2002</t>
  </si>
  <si>
    <t>18.01.2003</t>
  </si>
  <si>
    <t>02.12.2002</t>
  </si>
  <si>
    <t>SYLA ROSHINI PRIYANKA</t>
  </si>
  <si>
    <t>09.02.2001</t>
  </si>
  <si>
    <t>19.10.2001</t>
  </si>
  <si>
    <t>NEET RANK</t>
  </si>
  <si>
    <t>SRIRAM LALITHA VENKATESWARI</t>
  </si>
  <si>
    <t>SUNDARA SATYA SULAKSHANA</t>
  </si>
  <si>
    <t>MANDAPATI VEDA SAMHITHA</t>
  </si>
  <si>
    <t>DWARAMPUDI SRI LAKSHMANA REDDY</t>
  </si>
  <si>
    <t>ALAMURI SAI ANITHA</t>
  </si>
  <si>
    <t>MALLIPAMULA ANUDEEPTHI</t>
  </si>
  <si>
    <t>JILLELLA PAVAN</t>
  </si>
  <si>
    <t>PATOOR VAISHNAVI</t>
  </si>
  <si>
    <t>CHUNDRU SAMHITHA CHOWDARY</t>
  </si>
  <si>
    <t>KATAKAM SUMANTH</t>
  </si>
  <si>
    <t>VALLEPALLI SANTHI KUMARI</t>
  </si>
  <si>
    <t>DWARAMPUDI SRI RAM REDDY</t>
  </si>
  <si>
    <t>DANDUMENU JAYA SAI MANIKANTA</t>
  </si>
  <si>
    <t>REPAKA LAKSHMI NARAYANA BAPESH</t>
  </si>
  <si>
    <t>MYLAPALLI PAVANI MADHU LATHA</t>
  </si>
  <si>
    <t>JADDA GNANA HARSHINI</t>
  </si>
  <si>
    <t>ALLANKI SAI JOSHITA</t>
  </si>
  <si>
    <t>ALLANKI SATVITA</t>
  </si>
  <si>
    <t>MOOLEY BHUMIKA</t>
  </si>
  <si>
    <t>ADITI DEY</t>
  </si>
  <si>
    <t>CHIRLA SANNIHITHA</t>
  </si>
  <si>
    <t>GUDALA PREETHI</t>
  </si>
  <si>
    <t>TUMMALAPENTA SAI MAHITHA</t>
  </si>
  <si>
    <t>NIHARIKA KIRANMAYEE GARIKAPATI</t>
  </si>
  <si>
    <t>05.07.2003</t>
  </si>
  <si>
    <t>24.12.2020</t>
  </si>
  <si>
    <t>22.08.2000</t>
  </si>
  <si>
    <t>NEET MARKS</t>
  </si>
  <si>
    <t>05.11.2002</t>
  </si>
  <si>
    <t>31.07.2001</t>
  </si>
  <si>
    <t>16.02.1999</t>
  </si>
  <si>
    <t>12.03.2003</t>
  </si>
  <si>
    <t>04.08.2001</t>
  </si>
  <si>
    <t>19.08.2002</t>
  </si>
  <si>
    <t>18.03.2003</t>
  </si>
  <si>
    <t>15.09.2001</t>
  </si>
  <si>
    <t>04.02.2003</t>
  </si>
  <si>
    <t>11.01.2021</t>
  </si>
  <si>
    <t>25.08.2002</t>
  </si>
  <si>
    <t>30.11.2001</t>
  </si>
  <si>
    <t>15.08.1999</t>
  </si>
  <si>
    <t>11.08.2002</t>
  </si>
  <si>
    <t>10.07.2003</t>
  </si>
  <si>
    <t>03.10.2002</t>
  </si>
  <si>
    <t>EWS</t>
  </si>
  <si>
    <t>11.07.2000</t>
  </si>
  <si>
    <t>30.01.2001</t>
  </si>
  <si>
    <t>27.10.2001</t>
  </si>
  <si>
    <t>02.08.2001</t>
  </si>
  <si>
    <t>20.03.2000</t>
  </si>
  <si>
    <t>11.12.2001</t>
  </si>
  <si>
    <t>19.02.2002</t>
  </si>
  <si>
    <t xml:space="preserve"> OBC</t>
  </si>
  <si>
    <t>VURUKUTI UPAGJNA</t>
  </si>
  <si>
    <t>30.08.2002</t>
  </si>
  <si>
    <t xml:space="preserve">BC-D </t>
  </si>
  <si>
    <t>GUGGILAM ADITHYA VISWESH</t>
  </si>
  <si>
    <t>16.10.2000</t>
  </si>
  <si>
    <t>22.01.2021</t>
  </si>
  <si>
    <t xml:space="preserve">                         </t>
  </si>
  <si>
    <t>YELLAMANDA RENUSREE</t>
  </si>
  <si>
    <t>CHAVALI DEEPTHI SIVA NAGA LAHARI</t>
  </si>
  <si>
    <t>18.08.2002</t>
  </si>
  <si>
    <t>PALAVALLI BHAVYA SREE</t>
  </si>
  <si>
    <t>04.10.2000</t>
  </si>
  <si>
    <t>23.01.2021</t>
  </si>
  <si>
    <t>BATTAGIRI SWETHA CHANDU REDDY</t>
  </si>
  <si>
    <t>PEMMADI VENKATA SAI</t>
  </si>
  <si>
    <t>MAREEDU KHYATHI</t>
  </si>
  <si>
    <t>25.01.2001</t>
  </si>
  <si>
    <t>SHAIK AIESHA</t>
  </si>
  <si>
    <t>12.01.2002</t>
  </si>
  <si>
    <t>MUDUNURI MONIKA</t>
  </si>
  <si>
    <t>BOLLAM  SUSRITHA</t>
  </si>
  <si>
    <t>30.10.2002</t>
  </si>
  <si>
    <t>27.01.2021</t>
  </si>
  <si>
    <t>NANDA KAVYA</t>
  </si>
  <si>
    <t>15.05.2002</t>
  </si>
  <si>
    <t>BHARATHALA SRI KRISHNA AJAY KUMAR</t>
  </si>
  <si>
    <t>JAVADALA NISHITA</t>
  </si>
  <si>
    <t>JONNAKUTI LIKHITHA</t>
  </si>
  <si>
    <t>SANGANI VIJAYA MOUNIKA</t>
  </si>
  <si>
    <t>ALLAM ROOPA MAHI MEGHANA</t>
  </si>
  <si>
    <t>GADHI POOJITHA</t>
  </si>
  <si>
    <t>MATCHA JENNIFER CAROLENE</t>
  </si>
  <si>
    <t>31.10.2002</t>
  </si>
  <si>
    <t>GANTLA HARINI</t>
  </si>
  <si>
    <t>18.04.2002</t>
  </si>
  <si>
    <t>30.01.2021</t>
  </si>
  <si>
    <t>KANDULA LAKSHMI DEVI</t>
  </si>
  <si>
    <t>M. PRASANNA</t>
  </si>
  <si>
    <t>17.02.2002</t>
  </si>
  <si>
    <t>-</t>
  </si>
  <si>
    <t>Sl.No.</t>
  </si>
  <si>
    <t>CHAGANTI SANDHYA</t>
  </si>
  <si>
    <t>SUNITA MAHARANA</t>
  </si>
  <si>
    <t>10.1.2021</t>
  </si>
  <si>
    <t>26.08.2001</t>
  </si>
  <si>
    <t>08.04.2001</t>
  </si>
  <si>
    <t>20.06.1999</t>
  </si>
  <si>
    <t>21.12.2000</t>
  </si>
  <si>
    <t>30.01.2003</t>
  </si>
  <si>
    <t>26.03.2000</t>
  </si>
  <si>
    <t>PICHUKA SREE UJWALA</t>
  </si>
  <si>
    <t>01.01.2003</t>
  </si>
  <si>
    <t>12.02.2021</t>
  </si>
  <si>
    <t>UMMIDI SURYAKALA GANGA NARASAMAMBA</t>
  </si>
  <si>
    <t>25.10.2001</t>
  </si>
  <si>
    <t>CHADALAVADA SUJAYA SRI</t>
  </si>
  <si>
    <t>30.10.2001</t>
  </si>
  <si>
    <t>BULA JOYCE FLORENCE KEZIA</t>
  </si>
  <si>
    <t>18.03.2002</t>
  </si>
  <si>
    <t>15.02.2021</t>
  </si>
  <si>
    <t>GANDHAM NAGA LAKSHMI CHAITANYA</t>
  </si>
  <si>
    <t>06.08.2002</t>
  </si>
  <si>
    <t>NUNNA LAKSHMI ANUSHA</t>
  </si>
  <si>
    <t>19.06.2002</t>
  </si>
  <si>
    <t>SARASA NITHIN DATTA</t>
  </si>
  <si>
    <t>23.02.2003</t>
  </si>
  <si>
    <t>13.02.2021</t>
  </si>
  <si>
    <t>SAMAYAMANTHULA JAHNAVI RAJESWARI</t>
  </si>
  <si>
    <t>17.09.2002</t>
  </si>
  <si>
    <t>PERAVALI CHARAN BABU</t>
  </si>
  <si>
    <t>06.11.2001</t>
  </si>
  <si>
    <t>BAKI TEJASWINI</t>
  </si>
  <si>
    <t>09.07.2003</t>
  </si>
  <si>
    <t>RAYALA SAI VENKATA MUKESH</t>
  </si>
  <si>
    <t>01.11.2002</t>
  </si>
  <si>
    <t>27.05.2002</t>
  </si>
  <si>
    <t>PUVVALA CHIDVILASINI</t>
  </si>
  <si>
    <t>06.05.2002</t>
  </si>
  <si>
    <t>SHAIK SHAMSUNNISSA SULTANA</t>
  </si>
  <si>
    <t>25.07.2002</t>
  </si>
  <si>
    <t>RAMINENI SNEHA SREE</t>
  </si>
  <si>
    <t>KANKATALA KUSUMA SRI KUMARI</t>
  </si>
  <si>
    <t>LIST OF STUDENTS ADMITTED UNDER A-CATEGORY IN BDS COURSE FOR THE ACADEMIC SESSION  2020-21</t>
  </si>
  <si>
    <t>Remarks</t>
  </si>
  <si>
    <t>Seat Cancellation</t>
  </si>
  <si>
    <t>Stray-C</t>
  </si>
  <si>
    <t>NRI</t>
  </si>
  <si>
    <t>Stray-B</t>
  </si>
  <si>
    <t>NAVYA SAI RAMANI ANANYA VADDI</t>
  </si>
  <si>
    <t>LIST OF STUDENTS ADMITTED IN MDS COURSE FOR THE ACADEMIC SESSION  2020-21</t>
  </si>
  <si>
    <t>GENDER</t>
  </si>
  <si>
    <t>SPECIALITY ADMITED</t>
  </si>
  <si>
    <t xml:space="preserve">CATEGORY (OC/BC/SC/ST/PWD) </t>
  </si>
  <si>
    <t>Joined Under  (Govt- State Quota /AIQ)  Pvt-CQ/S1/S2/S3/ Stray)</t>
  </si>
  <si>
    <t>1</t>
  </si>
  <si>
    <t>BANALA AISWARYA</t>
  </si>
  <si>
    <t>Female</t>
  </si>
  <si>
    <t>PERIODONTICS</t>
  </si>
  <si>
    <t>BC-B (KAMSALI)</t>
  </si>
  <si>
    <t>CQ</t>
  </si>
  <si>
    <t>2</t>
  </si>
  <si>
    <t>GOKINA SRI VIDYA</t>
  </si>
  <si>
    <t>1955227107</t>
  </si>
  <si>
    <t>S1</t>
  </si>
  <si>
    <t>3</t>
  </si>
  <si>
    <t>VEGI DEVISWAPNIKA</t>
  </si>
  <si>
    <t>PEDODONTICS</t>
  </si>
  <si>
    <t>4</t>
  </si>
  <si>
    <t>VAJRALA SASIDHAR</t>
  </si>
  <si>
    <t>Male</t>
  </si>
  <si>
    <t>BC - B (Viswabrahmin)</t>
  </si>
  <si>
    <t>5</t>
  </si>
  <si>
    <t>KOLLURI SRITHA</t>
  </si>
  <si>
    <t>1955226657</t>
  </si>
  <si>
    <t>6</t>
  </si>
  <si>
    <t>SOMABHATTA MANOJNYA</t>
  </si>
  <si>
    <t>ORAL &amp; MAXILLO FACIAL SURGERY</t>
  </si>
  <si>
    <t>7</t>
  </si>
  <si>
    <t>SHAIK IRFAN AHAMED</t>
  </si>
  <si>
    <t>8</t>
  </si>
  <si>
    <t>KOLLI NAGA VENKATA PRANAVI</t>
  </si>
  <si>
    <t>9</t>
  </si>
  <si>
    <t>DAMATHOTI NIHITHA</t>
  </si>
  <si>
    <t>ORAL MEDICINE &amp; RADIOLOGY</t>
  </si>
  <si>
    <t>10</t>
  </si>
  <si>
    <t>PEKATI RAMYA</t>
  </si>
  <si>
    <t>ORTHODONTICS</t>
  </si>
  <si>
    <t>11</t>
  </si>
  <si>
    <t>DASARI GURAVAIAH</t>
  </si>
  <si>
    <t>12</t>
  </si>
  <si>
    <t>DATLA HIMABINDU</t>
  </si>
  <si>
    <t>1955226580</t>
  </si>
  <si>
    <t>13</t>
  </si>
  <si>
    <t>KAKARLAPUDI AKHILA DEVI</t>
  </si>
  <si>
    <t>1955227134</t>
  </si>
  <si>
    <t>PROSTHODONTICS</t>
  </si>
  <si>
    <t>14</t>
  </si>
  <si>
    <t>SANGANI SOWJANYA</t>
  </si>
  <si>
    <t>BC-A (AGNIKULAKSHATRIVA)</t>
  </si>
  <si>
    <t>15</t>
  </si>
  <si>
    <t>KARRI AKHIL SAI REDDY</t>
  </si>
  <si>
    <t>1955227153</t>
  </si>
  <si>
    <t>16</t>
  </si>
  <si>
    <t>JOLLING DIKSHA</t>
  </si>
  <si>
    <t>CONSERVATIVE DENTISTRY &amp; ENDODONTICS</t>
  </si>
  <si>
    <t>BC-A (VADABALIJA)</t>
  </si>
  <si>
    <t>17</t>
  </si>
  <si>
    <t>PRASANGI VIJAYA BHANU</t>
  </si>
  <si>
    <t>BC-A  (AGNIKULAKSHATRIVA)</t>
  </si>
  <si>
    <t>18</t>
  </si>
  <si>
    <t>TURLAPATI SAI KASHMEERA</t>
  </si>
  <si>
    <t>STRAY</t>
  </si>
  <si>
    <t>19</t>
  </si>
  <si>
    <t>KARUTURI DEEPIKA</t>
  </si>
  <si>
    <t>17848</t>
  </si>
  <si>
    <t>1955227269</t>
  </si>
  <si>
    <t>ORALPATHOLOGY</t>
  </si>
  <si>
    <t>LIST OF STUDENTS ADMITTED IN BDS COURSE FOR THE ACADEMIC SESSION  2019-20</t>
  </si>
  <si>
    <t>FATHER'S NAME</t>
  </si>
  <si>
    <t>NEET PERCENTILE</t>
  </si>
  <si>
    <t>WHETHER QUALIFIED IN NEET-2018(YES/NO)</t>
  </si>
  <si>
    <t>MOBILE NO.</t>
  </si>
  <si>
    <t>MEAN</t>
  </si>
  <si>
    <t>X-MEAN</t>
  </si>
  <si>
    <t>X-MEAN^2</t>
  </si>
  <si>
    <t>GAVIDI TEJASWI</t>
  </si>
  <si>
    <t xml:space="preserve">SATISH </t>
  </si>
  <si>
    <t>YES</t>
  </si>
  <si>
    <t>22.12.2000</t>
  </si>
  <si>
    <t>23.08.2019</t>
  </si>
  <si>
    <t>9440476672
7981170769
6300847837</t>
  </si>
  <si>
    <t>SRI ANJANA SONTHI</t>
  </si>
  <si>
    <t>SRI RAMACHANDRA MURTHY</t>
  </si>
  <si>
    <t>20.09.2001</t>
  </si>
  <si>
    <t>12.07.2019</t>
  </si>
  <si>
    <t>9849149447
9948153447</t>
  </si>
  <si>
    <t>DURYODHANULA SONI</t>
  </si>
  <si>
    <t>NAGESWARA RAO</t>
  </si>
  <si>
    <t>23.06.2000</t>
  </si>
  <si>
    <t>22.07.2019</t>
  </si>
  <si>
    <t>PALLA SRI SATYA AKANKSHA</t>
  </si>
  <si>
    <t>RAMESH BABU</t>
  </si>
  <si>
    <t>08.08.2000</t>
  </si>
  <si>
    <t>23.07.2019</t>
  </si>
  <si>
    <t>9705347132
9133744186</t>
  </si>
  <si>
    <t>VALINA RASHMITHA</t>
  </si>
  <si>
    <t>SANGARAJ KUMAR</t>
  </si>
  <si>
    <t>07.01.2002</t>
  </si>
  <si>
    <t>24.08.2019</t>
  </si>
  <si>
    <t>9490996709
809999199
996388999</t>
  </si>
  <si>
    <t>UNDAVALLI RAMAKRISHNA SRINIVAS</t>
  </si>
  <si>
    <t>MALLIKHARJUNA RAO</t>
  </si>
  <si>
    <t>27.03.2000</t>
  </si>
  <si>
    <t>22.08.2019</t>
  </si>
  <si>
    <t>630442497
9441347679
9494247678</t>
  </si>
  <si>
    <t>ORRE THANUJA SATYA LASKHMI</t>
  </si>
  <si>
    <t>CHANDRA RAO</t>
  </si>
  <si>
    <t>24.11.2000</t>
  </si>
  <si>
    <t>9490599244
9704929643
9704929642</t>
  </si>
  <si>
    <t>GANDHAM NAGA SAI SRIJA</t>
  </si>
  <si>
    <t>KAMALAKARA RAO</t>
  </si>
  <si>
    <t>06.07.2000</t>
  </si>
  <si>
    <t>15.07.2019</t>
  </si>
  <si>
    <t>9848969269
7993161291</t>
  </si>
  <si>
    <t>SURAVARAPU POOJA SANTHOSHI</t>
  </si>
  <si>
    <t>SATISH KUMAR</t>
  </si>
  <si>
    <t>02.09.2000</t>
  </si>
  <si>
    <t>13.07.2019</t>
  </si>
  <si>
    <t>9666185490
9603046974</t>
  </si>
  <si>
    <t>YENIKIPATI LAKSHMI MOUNIKA</t>
  </si>
  <si>
    <t>PARANDHAMAYYA</t>
  </si>
  <si>
    <t>12.08.2000</t>
  </si>
  <si>
    <t>9704346260
9441936369</t>
  </si>
  <si>
    <t>KALINGAPATNAM SAI DIVYA LIKHITHHA</t>
  </si>
  <si>
    <t>HANUMANTHA RAO</t>
  </si>
  <si>
    <t>JESSIE NIVEDITHA GADI</t>
  </si>
  <si>
    <t>JOSHAVA RAJU</t>
  </si>
  <si>
    <t>25.03.2000</t>
  </si>
  <si>
    <t>9959872229
9959872273
9959322833</t>
  </si>
  <si>
    <t>BODAPATI PARDHASARADI RAJU</t>
  </si>
  <si>
    <t>GOVINDA RAO</t>
  </si>
  <si>
    <t>BC</t>
  </si>
  <si>
    <t>10.03.2001</t>
  </si>
  <si>
    <t>8008215559
9397143145
9177079559</t>
  </si>
  <si>
    <t>NADAKUDITI YAMINI</t>
  </si>
  <si>
    <t>KANAKARAJU</t>
  </si>
  <si>
    <t>10.05.2001</t>
  </si>
  <si>
    <t>06.09.2019</t>
  </si>
  <si>
    <t>9949022666
9848895688</t>
  </si>
  <si>
    <t>THOTA SURYA PAVAN</t>
  </si>
  <si>
    <t>T.V.V.S.SARVA RAYUDU</t>
  </si>
  <si>
    <t>04.01.2001</t>
  </si>
  <si>
    <t>9666233335
7013868419</t>
  </si>
  <si>
    <t>PADALA BHAVANA</t>
  </si>
  <si>
    <t>E.V.SATYANARAYANA</t>
  </si>
  <si>
    <t>18.06.2001</t>
  </si>
  <si>
    <t>14.07.2019</t>
  </si>
  <si>
    <t>9985125437
8341693847
9533834204</t>
  </si>
  <si>
    <t>VENKATA LALITHA GEDALA</t>
  </si>
  <si>
    <t>27.06.2000</t>
  </si>
  <si>
    <t>9948597837
6302756260</t>
  </si>
  <si>
    <t>GUDLA DEEPIKA</t>
  </si>
  <si>
    <t>PAKEER</t>
  </si>
  <si>
    <t>28.08.2001</t>
  </si>
  <si>
    <t>8978553326
9121958946</t>
  </si>
  <si>
    <t>DEVARAPALLI SRAVANI</t>
  </si>
  <si>
    <t>LAKSHMI</t>
  </si>
  <si>
    <t>01.07.1999</t>
  </si>
  <si>
    <t>6309729896
9440891586
9491721880</t>
  </si>
  <si>
    <t>DATLA VENKATA JAHNAVI VARMA</t>
  </si>
  <si>
    <t>SATYANARAYANA RAJU</t>
  </si>
  <si>
    <t>12.07.2000</t>
  </si>
  <si>
    <t>9949863653
8008750693
7569518126</t>
  </si>
  <si>
    <t>KALLA BHAVYA VARSHINI</t>
  </si>
  <si>
    <t>DEVI VENKATA GANGADHARA RAO</t>
  </si>
  <si>
    <t>08.03.2000</t>
  </si>
  <si>
    <t>9885226799
9581659069
7993865548</t>
  </si>
  <si>
    <t>THAMMISETTI AKHILA</t>
  </si>
  <si>
    <t>GOVARDHANA RAO</t>
  </si>
  <si>
    <t>9440314655
9493102784</t>
  </si>
  <si>
    <t>SUVARNA RESHMA NAGA SIVA PRIYA</t>
  </si>
  <si>
    <t>RAJASEKHARAM</t>
  </si>
  <si>
    <t>13.03.2001</t>
  </si>
  <si>
    <t>9059028488
9949746788</t>
  </si>
  <si>
    <t>SANGANA BHANU VENKATASAI RAGHU BHUVANESH</t>
  </si>
  <si>
    <t>VENKATA SURYA NARAYANA</t>
  </si>
  <si>
    <t>29.06.2000</t>
  </si>
  <si>
    <t>8074647192
9989343798
9133824248</t>
  </si>
  <si>
    <t>DONTHAMSETTY SAI VENKATA SATYA SUSMITHA</t>
  </si>
  <si>
    <t>THRIMURTHULU</t>
  </si>
  <si>
    <t>02.03.2001</t>
  </si>
  <si>
    <t>9291256653
7093976699
9347989820</t>
  </si>
  <si>
    <t>POJALA KALPANA</t>
  </si>
  <si>
    <t>MURALIKRISHNA</t>
  </si>
  <si>
    <t>14.08.2001</t>
  </si>
  <si>
    <t>07.09.2019</t>
  </si>
  <si>
    <t>8500419414
6304513321
9121775800</t>
  </si>
  <si>
    <t>G.MURALI KRISHNA YADAV</t>
  </si>
  <si>
    <t>NAGAIAH</t>
  </si>
  <si>
    <t>08.02.1999</t>
  </si>
  <si>
    <t>28.08.2019</t>
  </si>
  <si>
    <t>9494496034
6300604632
7382778420</t>
  </si>
  <si>
    <t>PANTHAM HEMALATHA</t>
  </si>
  <si>
    <t>VENKATA RAMANA</t>
  </si>
  <si>
    <t>31.03.2000</t>
  </si>
  <si>
    <t>29.08.2019</t>
  </si>
  <si>
    <t>9948747596
9642169396
9014694369</t>
  </si>
  <si>
    <t>MAGULURI RAVITEJA</t>
  </si>
  <si>
    <t>RAMALINGAIAH</t>
  </si>
  <si>
    <t>04.06.2001</t>
  </si>
  <si>
    <t>30.08.2019</t>
  </si>
  <si>
    <t>9963771316
9052185386
7022616841</t>
  </si>
  <si>
    <t>KOTHALANKA S.T.S.S.R. SAINIVAS</t>
  </si>
  <si>
    <t>VIJAYA PRASAD UDAYKUMAR</t>
  </si>
  <si>
    <t>10.06.2001</t>
  </si>
  <si>
    <t xml:space="preserve">9989496075
</t>
  </si>
  <si>
    <t>GUNDALA LAKSHMI SAI MANOGNA</t>
  </si>
  <si>
    <t>VENKATESWARLU</t>
  </si>
  <si>
    <t>03.06.1999</t>
  </si>
  <si>
    <t>6305118932
7731000099
8185979519</t>
  </si>
  <si>
    <t>PUVVADA JUHITHA</t>
  </si>
  <si>
    <t>SITARAM</t>
  </si>
  <si>
    <t>9291607393
9440287437
7989785584</t>
  </si>
  <si>
    <t>RITTA SAI GANESH</t>
  </si>
  <si>
    <t>TRINADHA RAO</t>
  </si>
  <si>
    <t>05.11.2000</t>
  </si>
  <si>
    <t>7993879922
9515498329
8341162221</t>
  </si>
  <si>
    <t>KAUSHIK PALLAKONDA</t>
  </si>
  <si>
    <t>SAMBAIAH</t>
  </si>
  <si>
    <t>03.08.2000</t>
  </si>
  <si>
    <t>7981688262
9000134971
6303584544</t>
  </si>
  <si>
    <t>THUMMAPUDI LAKSHMI PADMAVATHI</t>
  </si>
  <si>
    <t>KOTESWARA RAO</t>
  </si>
  <si>
    <t>16.06.2000</t>
  </si>
  <si>
    <t>9963402864
9949400186
9885081586</t>
  </si>
  <si>
    <t>CHINTALA AMRUTHA</t>
  </si>
  <si>
    <t>RAMU</t>
  </si>
  <si>
    <t>29.12.2001</t>
  </si>
  <si>
    <t>9440636339
6301529688
9963266651</t>
  </si>
  <si>
    <t>LAKKEPOGU VANI</t>
  </si>
  <si>
    <t>VENKATESH</t>
  </si>
  <si>
    <t>28.08.2000</t>
  </si>
  <si>
    <t>9381285792
9701714135</t>
  </si>
  <si>
    <t>DANDE BHAVANA</t>
  </si>
  <si>
    <t>VENKATA RAMA RAO</t>
  </si>
  <si>
    <t>12.11.1999</t>
  </si>
  <si>
    <t>9492604070
9963753147
9492394238</t>
  </si>
  <si>
    <t>VADITHE SAI PRAKASH NAIK</t>
  </si>
  <si>
    <t>BALAJI NAYAK</t>
  </si>
  <si>
    <t>04.06.2000</t>
  </si>
  <si>
    <t>9550963808
9603415029</t>
  </si>
  <si>
    <t>KANIKARAM NAGA DURGA KUSUMA PRIYANKA</t>
  </si>
  <si>
    <t>V.V.N.VISWESWARA RAO</t>
  </si>
  <si>
    <t>29.05.1999</t>
  </si>
  <si>
    <t>13.09.2019</t>
  </si>
  <si>
    <t>9059063040
9989784252</t>
  </si>
  <si>
    <t>SODINAPALLI SUBHASH CHANDRA BOSE</t>
  </si>
  <si>
    <t>RAMANJANEYULU</t>
  </si>
  <si>
    <t>29.03.2000</t>
  </si>
  <si>
    <t>9959861715
7386254215
8374271324</t>
  </si>
  <si>
    <t>VASA KISHORE</t>
  </si>
  <si>
    <t>PALBABU</t>
  </si>
  <si>
    <t>07.11.1999</t>
  </si>
  <si>
    <t>9441792042
9490289094
9490729094</t>
  </si>
  <si>
    <t>SHAIK MOHMMED ALI</t>
  </si>
  <si>
    <t>NAGURVALI</t>
  </si>
  <si>
    <t>04.05.1999</t>
  </si>
  <si>
    <t>9059096113
9866409348</t>
  </si>
  <si>
    <t>SHAIK JUNEDA</t>
  </si>
  <si>
    <t>SHAIK WYDULLA</t>
  </si>
  <si>
    <t>02.08.2000</t>
  </si>
  <si>
    <t>8639916702
9110340687</t>
  </si>
  <si>
    <t>MUPPIDI SANDEEPTI</t>
  </si>
  <si>
    <t>SUDHAKAR</t>
  </si>
  <si>
    <t>13.09.2000</t>
  </si>
  <si>
    <t xml:space="preserve">9030420709
</t>
  </si>
  <si>
    <t>TATIPAKA RISHIKA</t>
  </si>
  <si>
    <t>VENKATESWARA RAO</t>
  </si>
  <si>
    <t>23.03.2000</t>
  </si>
  <si>
    <t>30.8.2019</t>
  </si>
  <si>
    <t>9494703409
7993369409</t>
  </si>
  <si>
    <t>TATAPUDI MOUNIKA GRACE</t>
  </si>
  <si>
    <t>YESUPADAM</t>
  </si>
  <si>
    <t>16.06.2001</t>
  </si>
  <si>
    <t>9985585233
7893920674
9908878301</t>
  </si>
  <si>
    <t>DUNDI NIKHITHA PRIYANKA</t>
  </si>
  <si>
    <t>09.01.2000</t>
  </si>
  <si>
    <t>9849702276
8978080352</t>
  </si>
  <si>
    <t>BIDDIKA PAVANI</t>
  </si>
  <si>
    <t>JUJARU</t>
  </si>
  <si>
    <t>20.05.1999</t>
  </si>
  <si>
    <t>9491799386
9121926504
8500266396</t>
  </si>
  <si>
    <t>KRISHNA GEETHIKA TUPAKULA</t>
  </si>
  <si>
    <t>MOHANRAO</t>
  </si>
  <si>
    <t>21.01.2001</t>
  </si>
  <si>
    <t>8333086999
7337237662</t>
  </si>
  <si>
    <t>DANDAMUDI VENKATA VIKRAM</t>
  </si>
  <si>
    <t>SRIDHAR</t>
  </si>
  <si>
    <t>13.11.2000</t>
  </si>
  <si>
    <t>29.07.2019</t>
  </si>
  <si>
    <t>9491881118
9912349430
9866223283</t>
  </si>
  <si>
    <t>BONE MANICHANDANA</t>
  </si>
  <si>
    <t>CHALAPATHI</t>
  </si>
  <si>
    <t>08.09.1999</t>
  </si>
  <si>
    <t>14.09.2019</t>
  </si>
  <si>
    <t>9440067839
7674877839</t>
  </si>
  <si>
    <t>S.V.J. ABHINAVA KUMAR</t>
  </si>
  <si>
    <t>MOHAN KUMAR</t>
  </si>
  <si>
    <t>24.06.2001</t>
  </si>
  <si>
    <t>26.07.2019</t>
  </si>
  <si>
    <t>8978695488
8605695579</t>
  </si>
  <si>
    <t>GRANDHI SRUJANANJALI</t>
  </si>
  <si>
    <t>SANKAR SRINIVASA NAGA PAVAN RAM</t>
  </si>
  <si>
    <t>10.12.2002</t>
  </si>
  <si>
    <t>9848317698
7013636145</t>
  </si>
  <si>
    <t>MALLIPUDI TEJASWINI</t>
  </si>
  <si>
    <t>RAMACHANDRA PRASAD</t>
  </si>
  <si>
    <t>8096433672
9848673389
6300688831</t>
  </si>
  <si>
    <t>BOPPANA MANASA</t>
  </si>
  <si>
    <t>23.07.2001</t>
  </si>
  <si>
    <t>8309083094
9390794889</t>
  </si>
  <si>
    <t>UPPULURI SRIVANI</t>
  </si>
  <si>
    <t>V.V.V.PRASAD</t>
  </si>
  <si>
    <t>20.09.1999</t>
  </si>
  <si>
    <t>30.07.2019</t>
  </si>
  <si>
    <t>9705594453
7036448997
8309942417</t>
  </si>
  <si>
    <t>MARELLA SUSHMITHA REDDY</t>
  </si>
  <si>
    <t>MARELLA LAKSHMI</t>
  </si>
  <si>
    <t>7780179983
9912336595</t>
  </si>
  <si>
    <t>PILLI MOHAN SRI SAI</t>
  </si>
  <si>
    <t>TATA RAJU</t>
  </si>
  <si>
    <t>26.08.2019</t>
  </si>
  <si>
    <t>9908669787
8008549787</t>
  </si>
  <si>
    <t>KANAKAMEDALA PRAVALLIKA</t>
  </si>
  <si>
    <t>SRINIVASA RAO</t>
  </si>
  <si>
    <t>04.09.2000</t>
  </si>
  <si>
    <t>9866400230
9618066559</t>
  </si>
  <si>
    <t>SOMA BALAJI</t>
  </si>
  <si>
    <t>26.06.2000</t>
  </si>
  <si>
    <t>9949392311
9492712585</t>
  </si>
  <si>
    <t>AKISETTI SATYA SAI SANTHOSHI</t>
  </si>
  <si>
    <t>SWAMY RAMA KRISHNA</t>
  </si>
  <si>
    <t>14.04.2000</t>
  </si>
  <si>
    <t>27.07.2019</t>
  </si>
  <si>
    <t>8897169285
7893296319
9959397788</t>
  </si>
  <si>
    <t>SHADAB FATIMA MAZINDRANI</t>
  </si>
  <si>
    <t>ASHRAR HUSAIN MAZINDRANI</t>
  </si>
  <si>
    <t>28.11.2001</t>
  </si>
  <si>
    <t>9440669246
8520877215</t>
  </si>
  <si>
    <t>KONDAPAVULURI BHAVANA</t>
  </si>
  <si>
    <t>SRINIVAS</t>
  </si>
  <si>
    <t>07.03.2002</t>
  </si>
  <si>
    <t>9440219816
9491728488
8919854050</t>
  </si>
  <si>
    <t>VETSA HEMA VENKATA SRI MAHALAKSHMI</t>
  </si>
  <si>
    <t>BHAVANI PRASAD</t>
  </si>
  <si>
    <t>10.01.2001</t>
  </si>
  <si>
    <t>9908553131
9705793552</t>
  </si>
  <si>
    <t>YEPURI TAPASWI</t>
  </si>
  <si>
    <t>03.04.1999</t>
  </si>
  <si>
    <t>9182933392
7993525332</t>
  </si>
  <si>
    <t>SHAIK ZEENATH NAAZ</t>
  </si>
  <si>
    <t>NASEER AHMED</t>
  </si>
  <si>
    <t>9701555200
9866058855</t>
  </si>
  <si>
    <t>NIDIGANTI SIVA KUMAR</t>
  </si>
  <si>
    <t>SANKARAIAH</t>
  </si>
  <si>
    <t>27.07.1998</t>
  </si>
  <si>
    <t>7093020955
9573099192</t>
  </si>
  <si>
    <t>KALISETTI SOWJANYA</t>
  </si>
  <si>
    <t>SRINIVASA PRASAD</t>
  </si>
  <si>
    <t>13.08.2000</t>
  </si>
  <si>
    <t>9959927448
8179377176</t>
  </si>
  <si>
    <t>KADAMATI SAILAJA PRIYA</t>
  </si>
  <si>
    <t>17.01.2002</t>
  </si>
  <si>
    <t>9491023628
8309168054</t>
  </si>
  <si>
    <t>KAVIKONDALA TEJASWI</t>
  </si>
  <si>
    <t>KVP PHANI KUMAR</t>
  </si>
  <si>
    <t>25.11.2000</t>
  </si>
  <si>
    <t>7036034567
9908677650
7660994567</t>
  </si>
  <si>
    <t>MOVVA HARI KEERTHANA</t>
  </si>
  <si>
    <t>VENUGOPAL</t>
  </si>
  <si>
    <t>02.07.2000</t>
  </si>
  <si>
    <t>9515415413
9515415410</t>
  </si>
  <si>
    <t>SHAIK SHAISTA TASNEEM</t>
  </si>
  <si>
    <t>RAFIFUDDIN JEELANI</t>
  </si>
  <si>
    <t>17.12.1999</t>
  </si>
  <si>
    <t>8897958731
9866999656</t>
  </si>
  <si>
    <t>VARA RANJITHA</t>
  </si>
  <si>
    <t>SOMAYYA</t>
  </si>
  <si>
    <t>13.02.2001</t>
  </si>
  <si>
    <t>9000045720
9949631250</t>
  </si>
  <si>
    <t>GOTHULA VINOD</t>
  </si>
  <si>
    <t>SREENIVASULU</t>
  </si>
  <si>
    <t>02.02.1999</t>
  </si>
  <si>
    <t>27.08.2019</t>
  </si>
  <si>
    <t>9963921315
9182014597</t>
  </si>
  <si>
    <t>CHODAVARAPU NAVYA</t>
  </si>
  <si>
    <t>29.10.2001</t>
  </si>
  <si>
    <t>9866816643
9618128517</t>
  </si>
  <si>
    <t>RASAMSETTI DEVI KRISHNA KAVYA</t>
  </si>
  <si>
    <t>06.03.2001</t>
  </si>
  <si>
    <t>9959298169
9666734799</t>
  </si>
  <si>
    <t>RAAVI AAKRUTHI</t>
  </si>
  <si>
    <t>RRJ SHARMA</t>
  </si>
  <si>
    <t>15.11.2001</t>
  </si>
  <si>
    <t>9030630099
9963693005</t>
  </si>
  <si>
    <t>SHAIK MASTAN VALI</t>
  </si>
  <si>
    <t>SHAIK MAHABOOB SUBHANI</t>
  </si>
  <si>
    <t>12.10.1999</t>
  </si>
  <si>
    <t>27.8.2019</t>
  </si>
  <si>
    <t>9441447967
9493173007
9550052534</t>
  </si>
  <si>
    <t>PULAPAKURA RISHIKA</t>
  </si>
  <si>
    <t>JOHN</t>
  </si>
  <si>
    <t>21.10.2000</t>
  </si>
  <si>
    <t>8328200356
939086095
9603729142</t>
  </si>
  <si>
    <t>ATLURI ROHITHA CHOWDARY</t>
  </si>
  <si>
    <t>KIRAN</t>
  </si>
  <si>
    <t>08.01.2002</t>
  </si>
  <si>
    <t>8712451236
9394211212</t>
  </si>
  <si>
    <t>AYALASOMAYAJULA VAMSHITA</t>
  </si>
  <si>
    <t>VENKATESWARA SARMA</t>
  </si>
  <si>
    <t>22.04.2001</t>
  </si>
  <si>
    <t>7893943456
7893843456</t>
  </si>
  <si>
    <t>SANGANA CHARISHMA</t>
  </si>
  <si>
    <t>BHASKARA REDDY</t>
  </si>
  <si>
    <t>07.12.2000</t>
  </si>
  <si>
    <t>9381180947
9951966281</t>
  </si>
  <si>
    <t>DASARI VARSHINI</t>
  </si>
  <si>
    <t>RAMBABU</t>
  </si>
  <si>
    <t>9908848857
7396136613</t>
  </si>
  <si>
    <t>BALIVADA SAI RAMYA SRI</t>
  </si>
  <si>
    <t>SRI RAMA MURTHY</t>
  </si>
  <si>
    <t>23.08.2001</t>
  </si>
  <si>
    <t>SHAIK SAI AKHILA</t>
  </si>
  <si>
    <t>SHAIK MOHAMMAD RAFI</t>
  </si>
  <si>
    <t>27.11.2000</t>
  </si>
  <si>
    <t>SURLA SIVA VENKATA JAHNAVI</t>
  </si>
  <si>
    <t>KONDA</t>
  </si>
  <si>
    <t>07.07.2001</t>
  </si>
  <si>
    <t>7386631719
8977931155</t>
  </si>
  <si>
    <t>HARIKRISHNA R</t>
  </si>
  <si>
    <t>SIDDAIAH</t>
  </si>
  <si>
    <t>OBC</t>
  </si>
  <si>
    <t>15.07.1999</t>
  </si>
  <si>
    <t>VAISHNAVI ARE</t>
  </si>
  <si>
    <t>SUDHAKAR ARE</t>
  </si>
  <si>
    <t>19.04.1999</t>
  </si>
  <si>
    <t>7989940100
9822201545</t>
  </si>
  <si>
    <t>SYED KAREEMUNNISA</t>
  </si>
  <si>
    <t>SYED NOOR</t>
  </si>
  <si>
    <t>21.12.2001</t>
  </si>
  <si>
    <t>9959424930
9652847772</t>
  </si>
  <si>
    <t>KOTA VENKATA NAGA SIVA SARVANI</t>
  </si>
  <si>
    <t>BABU RAO</t>
  </si>
  <si>
    <t>26.11.2001</t>
  </si>
  <si>
    <t>9246399456
9246390701</t>
  </si>
  <si>
    <t>MOLLI PAVANI</t>
  </si>
  <si>
    <t>VEERA BABU</t>
  </si>
  <si>
    <t>31.08.2000</t>
  </si>
  <si>
    <t>9247283277
8639921912</t>
  </si>
  <si>
    <t>SHAIK MOIN AHAMED SHARIFF</t>
  </si>
  <si>
    <t>SHAIK HUSSAIN SHARIFF</t>
  </si>
  <si>
    <t>09.08.2001</t>
  </si>
  <si>
    <t>9866227816
9885869102</t>
  </si>
  <si>
    <t>MARLA SAI SHARANYA</t>
  </si>
  <si>
    <t>APPA RAO</t>
  </si>
  <si>
    <t>20.02.2001</t>
  </si>
  <si>
    <t>9437618391
9347435973</t>
  </si>
  <si>
    <t>SUSMITHA PATIL</t>
  </si>
  <si>
    <t>KANTHARAM PATIL</t>
  </si>
  <si>
    <t>03.09.2001</t>
  </si>
  <si>
    <t>9866447007
7997703977</t>
  </si>
  <si>
    <t>G.NIKHITHA</t>
  </si>
  <si>
    <t>NARAHARI</t>
  </si>
  <si>
    <t>10.11.1999</t>
  </si>
  <si>
    <t>9676452170
9441038237</t>
  </si>
  <si>
    <t>MANNE NIKHITHA CHOWDARY</t>
  </si>
  <si>
    <t>MALLIKARJUNA RAO</t>
  </si>
  <si>
    <t>29.04.2002</t>
  </si>
  <si>
    <t>9848611255
9177995199</t>
  </si>
  <si>
    <t>UMD TAZMIL REHMAN</t>
  </si>
  <si>
    <t>M.UMAR FAROOK</t>
  </si>
  <si>
    <t>29.09.2001</t>
  </si>
  <si>
    <t>8074042684
6301969794
9347874808</t>
  </si>
  <si>
    <t xml:space="preserve"> NEELIMA YARLAGADDA</t>
  </si>
  <si>
    <t>SESHAYYA</t>
  </si>
  <si>
    <t>10.05.1984</t>
  </si>
  <si>
    <t>YENUMULA JOHN RATNA SUSHANTH GOUD</t>
  </si>
  <si>
    <t>SAMUEL RAJU</t>
  </si>
  <si>
    <t>05.06.2001</t>
  </si>
  <si>
    <t>02.08.2019</t>
  </si>
  <si>
    <t>9849528127
7731839856
7702994062</t>
  </si>
  <si>
    <t>Total No.of students admitted : 100</t>
  </si>
  <si>
    <t>Standard deviation</t>
  </si>
  <si>
    <t>Total No.of students admitted under Govt.Quota : 50</t>
  </si>
  <si>
    <t>Total No.of students admitted under Management Quota : 35</t>
  </si>
  <si>
    <t>Total No.of students admitted under NRI Quota : 15</t>
  </si>
  <si>
    <t>Total No.of students admitted under General Category Quota : 38</t>
  </si>
  <si>
    <t>Total No.of students admitted under SC Category Quota  : 11</t>
  </si>
  <si>
    <t>Total No.of students admitted under ST Category Quota  : 4</t>
  </si>
  <si>
    <t>Total No.of students admitted under OBC Category Quota : 47</t>
  </si>
  <si>
    <t>Total No.of students admitted under others.</t>
  </si>
  <si>
    <t>Total No.of female students admitted. : 76 Nos.</t>
  </si>
  <si>
    <t>UNDER TAKING</t>
  </si>
  <si>
    <t xml:space="preserve">           This is to certify that the above admissions in BDS Course are as per sanctioned admission capacity and no excess admission has been made and the college has not violated the norms of DCI for admission and selection to BDS Course.</t>
  </si>
  <si>
    <t xml:space="preserve">           As per record available with the college, the information given above is complete and correct, in case, it is found incorrect or false, I shall be liable for action in event of submission of any incorrect or false information.</t>
  </si>
  <si>
    <t>PRINCIPAL</t>
  </si>
  <si>
    <t>LIST OF STUDENTS ADMITTED IN BDS COURSE FOR THE ACADEMIC SESSION  2018-19</t>
  </si>
  <si>
    <t>NEET PERCENTILE SCORE</t>
  </si>
  <si>
    <t>(X-MEAN)^2</t>
  </si>
  <si>
    <t>VUMMIDI LAKSHMI TEJASWI</t>
  </si>
  <si>
    <t>VENKATA SATYANARAYANA</t>
  </si>
  <si>
    <t>15.10.2000</t>
  </si>
  <si>
    <t>02.07.2018</t>
  </si>
  <si>
    <t>9494029432
9440177204
9849367204</t>
  </si>
  <si>
    <t>PASUPULETI REVATHI</t>
  </si>
  <si>
    <t>SRINU KUMAR</t>
  </si>
  <si>
    <t>12.08.1998</t>
  </si>
  <si>
    <t>20.08.2018</t>
  </si>
  <si>
    <t>9603353595
7095346749
9133903595</t>
  </si>
  <si>
    <t>KALLURI SARAYU</t>
  </si>
  <si>
    <t>VENKATA SRINIVASA RAO</t>
  </si>
  <si>
    <t>8500814155
9951975469
8341222428</t>
  </si>
  <si>
    <t>NALLAMILLI SRAVYA REDDY</t>
  </si>
  <si>
    <t>SRI SUBBA REDDY</t>
  </si>
  <si>
    <t>PULLA UDAYA BHASKAR</t>
  </si>
  <si>
    <t>20.08.1999</t>
  </si>
  <si>
    <t>9490186272
9491540887</t>
  </si>
  <si>
    <t>BODDEDA D.S.SANYASI RAO</t>
  </si>
  <si>
    <t>DEVAYYA</t>
  </si>
  <si>
    <t>20.08.1997</t>
  </si>
  <si>
    <t>9573186931
7396693261
9948543201</t>
  </si>
  <si>
    <t>VENIGALLA SUSMITHA</t>
  </si>
  <si>
    <t>23.08.1999</t>
  </si>
  <si>
    <t>9492467432
9553020612</t>
  </si>
  <si>
    <t>SHRAVANI RAJAMAHANTHI</t>
  </si>
  <si>
    <t>RAMESH</t>
  </si>
  <si>
    <t>02.10.1998</t>
  </si>
  <si>
    <t>9866597609
8074254102
7396800109</t>
  </si>
  <si>
    <t>PALADI VIJAYA LAKSHMI SIRISHA</t>
  </si>
  <si>
    <t>G.V.V.KRISHNA RAO</t>
  </si>
  <si>
    <t>28.05.2001</t>
  </si>
  <si>
    <t>9553715118
08842378929
7382747651</t>
  </si>
  <si>
    <t xml:space="preserve">NIKHIL CHITIKELA </t>
  </si>
  <si>
    <t>UMAMAHESH</t>
  </si>
  <si>
    <t>14.10.1998</t>
  </si>
  <si>
    <t>LANKA UMA DEVI</t>
  </si>
  <si>
    <t>SATYANARAYANA</t>
  </si>
  <si>
    <t>08.04.2000</t>
  </si>
  <si>
    <t>AKKINENI BHAVYA SRI</t>
  </si>
  <si>
    <t>02.09.1997</t>
  </si>
  <si>
    <t>26.08.2018</t>
  </si>
  <si>
    <t>9553153375
9550884795</t>
  </si>
  <si>
    <t>ELURI CHARISHMA</t>
  </si>
  <si>
    <t>NAGABHUSHANAM</t>
  </si>
  <si>
    <t>13.01.2000</t>
  </si>
  <si>
    <t>9177878321
9701624129</t>
  </si>
  <si>
    <t>CHAVA DIVIJA</t>
  </si>
  <si>
    <t>SUBBA RAO</t>
  </si>
  <si>
    <t>25.08.1999</t>
  </si>
  <si>
    <t>7981147081
9704990229
9441126361</t>
  </si>
  <si>
    <t>THATIPARTHI SUSHMITHA REDDY</t>
  </si>
  <si>
    <t>SRINIVAS REDDY</t>
  </si>
  <si>
    <t>07.02.2000</t>
  </si>
  <si>
    <t>9440914335
9059012232</t>
  </si>
  <si>
    <t>PALAVALLI KARUNA PRIYA</t>
  </si>
  <si>
    <t>MUNEENDHAR REDDY</t>
  </si>
  <si>
    <t>16.09.1999</t>
  </si>
  <si>
    <t>29.08.2018</t>
  </si>
  <si>
    <t xml:space="preserve">8096526263
</t>
  </si>
  <si>
    <t>KOTA RUPA SRI</t>
  </si>
  <si>
    <t>30.09.2000</t>
  </si>
  <si>
    <t>8500312329
9010278018</t>
  </si>
  <si>
    <t>PALURI NEEHARIKA DEVI</t>
  </si>
  <si>
    <t>NAGABALUSULA RAO</t>
  </si>
  <si>
    <t>05.08.2000</t>
  </si>
  <si>
    <t>MADDALA GIRIJA KARISHMA</t>
  </si>
  <si>
    <t>M.PAIDIRAJU</t>
  </si>
  <si>
    <t>21.06.2000</t>
  </si>
  <si>
    <t>74563</t>
  </si>
  <si>
    <t>28.08.2018</t>
  </si>
  <si>
    <t>9866462765
9949986898</t>
  </si>
  <si>
    <t>NAGARAPU VENKATA PADMINI</t>
  </si>
  <si>
    <t>28.04.2000</t>
  </si>
  <si>
    <t>9441132387
9502703269</t>
  </si>
  <si>
    <t>NANABOLU SAI AMEESHA</t>
  </si>
  <si>
    <t>JANAKI RAO</t>
  </si>
  <si>
    <t>05.09.1999</t>
  </si>
  <si>
    <t>8008488991
9491567146
8008588991</t>
  </si>
  <si>
    <t>SURA NAGA PRIYA</t>
  </si>
  <si>
    <t>10.09.1999</t>
  </si>
  <si>
    <t>9542780142
7602282726
9704315091</t>
  </si>
  <si>
    <t>GATIKOPPU BHAVYA RATNAM</t>
  </si>
  <si>
    <t>08.04.1999</t>
  </si>
  <si>
    <t>9440573252
9391834455
7989933466</t>
  </si>
  <si>
    <t>JAYAVARSHA KOTAM</t>
  </si>
  <si>
    <t>10.04.1999</t>
  </si>
  <si>
    <t>MAJJI JASWANTH SRINIVAS</t>
  </si>
  <si>
    <t>CHANDRA SEKHARA RAO</t>
  </si>
  <si>
    <t>08.05.2000</t>
  </si>
  <si>
    <t>8985390416
9490364837
6302632625</t>
  </si>
  <si>
    <t>AVVARU RAJESWARI</t>
  </si>
  <si>
    <t>LAKSHMI NARAYANA</t>
  </si>
  <si>
    <t>20.07.2000</t>
  </si>
  <si>
    <t>8106939711
8463974273</t>
  </si>
  <si>
    <t>YENDA HARIKA</t>
  </si>
  <si>
    <t>RAMA MOHANA RAO</t>
  </si>
  <si>
    <t>20.06.2000</t>
  </si>
  <si>
    <t>9441716185
9440362217
8919623589</t>
  </si>
  <si>
    <t>R.V.TRAYAMBICA DEVI VADDAVALLI</t>
  </si>
  <si>
    <t>SATISH BABU</t>
  </si>
  <si>
    <t>9885281816
9581600777
9440177505</t>
  </si>
  <si>
    <t>NAVYASREE SANGIREDDI</t>
  </si>
  <si>
    <t>05.04.2000</t>
  </si>
  <si>
    <t>9849947077
9550856959
9154196756</t>
  </si>
  <si>
    <t>MADWI SRIRAYUDU</t>
  </si>
  <si>
    <t>RAJU RAYUDU</t>
  </si>
  <si>
    <t>18.03.2000</t>
  </si>
  <si>
    <t xml:space="preserve">9441142869
9491385666
</t>
  </si>
  <si>
    <t>VADDI HARISHITHA</t>
  </si>
  <si>
    <t>VEERAVENKATA SATYANARAYANA</t>
  </si>
  <si>
    <t>11.04.2000</t>
  </si>
  <si>
    <t>8247676477
9440330994
6304533259</t>
  </si>
  <si>
    <t>MAYANA PATAN ASMAKHANAM</t>
  </si>
  <si>
    <t>AMZADALIKHAN</t>
  </si>
  <si>
    <t>22.07.2000</t>
  </si>
  <si>
    <t>05.09.2018</t>
  </si>
  <si>
    <t>VASIKARLA MADHU KIRAN</t>
  </si>
  <si>
    <t>RAGHUKUMAR</t>
  </si>
  <si>
    <t>14.08.1998</t>
  </si>
  <si>
    <t>9618251300
9705686387</t>
  </si>
  <si>
    <t>DURGAM HARITHA</t>
  </si>
  <si>
    <t>15.10.1998</t>
  </si>
  <si>
    <t>9100053501
9000253202
9182698429</t>
  </si>
  <si>
    <t>KILUMU NAVYA MADHURI</t>
  </si>
  <si>
    <t xml:space="preserve">RAMESH </t>
  </si>
  <si>
    <t>09.02.1999</t>
  </si>
  <si>
    <t>9989371280
9440771537
7997640957</t>
  </si>
  <si>
    <t>ANDE DIVYA SREE</t>
  </si>
  <si>
    <t>GUNA KRISHNA PRASAD</t>
  </si>
  <si>
    <t>05.01.1998</t>
  </si>
  <si>
    <t>8179716650
9966094531</t>
  </si>
  <si>
    <t>CHERUKURI NIKITHA SARANYA</t>
  </si>
  <si>
    <t>PRAKASAM</t>
  </si>
  <si>
    <t>30.08.2000</t>
  </si>
  <si>
    <t>7893239313
9052899232</t>
  </si>
  <si>
    <t>AKHILANDESWARI MANI ALA</t>
  </si>
  <si>
    <t>MURALI</t>
  </si>
  <si>
    <t>20.08.2001</t>
  </si>
  <si>
    <t>9493044862
6300791020
8309472575</t>
  </si>
  <si>
    <t>MAJJI MOULIKA SAI SANTHOSHI</t>
  </si>
  <si>
    <t>SURYA PRAKASH</t>
  </si>
  <si>
    <t>25.09.2000</t>
  </si>
  <si>
    <t>RESHMA NIMMAKA</t>
  </si>
  <si>
    <t>PREMA KUMAR</t>
  </si>
  <si>
    <t>21.02.1999</t>
  </si>
  <si>
    <t>8106511358
9391191515</t>
  </si>
  <si>
    <t>SHAIK SUHANA</t>
  </si>
  <si>
    <t>KHAJA RAHMATHULLA</t>
  </si>
  <si>
    <t>29.04.2000</t>
  </si>
  <si>
    <t>8186849454
9440233795
8985317691</t>
  </si>
  <si>
    <t>MAHAMMAD GOUSIYA BHANU</t>
  </si>
  <si>
    <t>HUSSAIN</t>
  </si>
  <si>
    <t>8985216886
7981934068
7794904186</t>
  </si>
  <si>
    <t>MURAVANI SUSHMA SUNEHA</t>
  </si>
  <si>
    <t>KALYAN KUMAR</t>
  </si>
  <si>
    <t>31.07.1998</t>
  </si>
  <si>
    <t>9959369825
9177109928</t>
  </si>
  <si>
    <t>SUBHASH ADAVIKATLA</t>
  </si>
  <si>
    <t>SARVESWARA RAO</t>
  </si>
  <si>
    <t>26.04.2000</t>
  </si>
  <si>
    <t>8106066836
7893896306
8374127612</t>
  </si>
  <si>
    <t>VEJENDLA KEERTHANA</t>
  </si>
  <si>
    <t>VEDANTHAM</t>
  </si>
  <si>
    <t>19.08.1999</t>
  </si>
  <si>
    <t>9441311368
9010188991
9848560022</t>
  </si>
  <si>
    <t>JAGADAM LEKHA SREE</t>
  </si>
  <si>
    <t>17.07.1998</t>
  </si>
  <si>
    <t>9441142932
7382430668
9493075688</t>
  </si>
  <si>
    <t xml:space="preserve">PEDDIREDDY LAVANYA </t>
  </si>
  <si>
    <t>P.SRINIVAS</t>
  </si>
  <si>
    <t>07.07.1999</t>
  </si>
  <si>
    <t>05.07.2018</t>
  </si>
  <si>
    <t>9000346789
9848290744
08842368667</t>
  </si>
  <si>
    <t>MUNGARI NISSY VIJAYA JYOTHSNA</t>
  </si>
  <si>
    <t>VICTOR ANANDA RAO</t>
  </si>
  <si>
    <t>9440572858
9490358396
8978979755</t>
  </si>
  <si>
    <t>BHUKYA SAI RAM</t>
  </si>
  <si>
    <t>B.BICHYA</t>
  </si>
  <si>
    <t>28.05.1998</t>
  </si>
  <si>
    <t>9959437689
7702407059
9063703426</t>
  </si>
  <si>
    <t>CHALASANI SAI GEETHIKA</t>
  </si>
  <si>
    <t>CH.VENKATA RAM PRASAD</t>
  </si>
  <si>
    <t>16.11.1999</t>
  </si>
  <si>
    <t>MATTAM HARICHANDANA</t>
  </si>
  <si>
    <t>VICTOR RAJU RAJARATNAM</t>
  </si>
  <si>
    <t>20..08.1998</t>
  </si>
  <si>
    <t>9494544585
9494544588
9441143314</t>
  </si>
  <si>
    <t>MOHMMED SANA SULTANA</t>
  </si>
  <si>
    <t>MD.ABDUL JALLEL</t>
  </si>
  <si>
    <t>14.02.2001</t>
  </si>
  <si>
    <t>9533393335
9397905776</t>
  </si>
  <si>
    <t>NIKHITA MADHURI VADREVU</t>
  </si>
  <si>
    <t>V.PRASAD</t>
  </si>
  <si>
    <t>12.10.1998</t>
  </si>
  <si>
    <t>9948447469
8497998991</t>
  </si>
  <si>
    <t>CHINTADA P.MARVEL</t>
  </si>
  <si>
    <t>KRUPAVARAM</t>
  </si>
  <si>
    <t>12.01.2000</t>
  </si>
  <si>
    <t>06.09.2018</t>
  </si>
  <si>
    <t>9912448555
9948548555</t>
  </si>
  <si>
    <t>KORUMILLI SATYA SAI TEJA</t>
  </si>
  <si>
    <t>K.B.V.V.SATYANARAYANA</t>
  </si>
  <si>
    <t>02.03.2000</t>
  </si>
  <si>
    <t>9849775984
9948837167
7396398780</t>
  </si>
  <si>
    <t>KOTA SIREESHA</t>
  </si>
  <si>
    <t>K.KONDA REDDY</t>
  </si>
  <si>
    <t>08.05.1999</t>
  </si>
  <si>
    <t>24.08.2018</t>
  </si>
  <si>
    <t>9866600521
9676340155</t>
  </si>
  <si>
    <t>V.BABY PRIYA VALLIKA</t>
  </si>
  <si>
    <t>JYOTHI RAJU</t>
  </si>
  <si>
    <t>15.06.1999</t>
  </si>
  <si>
    <t>9346945687
9490307670
9493787618</t>
  </si>
  <si>
    <t>NIDADAVOLU SATYA MADHU PREETHA</t>
  </si>
  <si>
    <t>N.SRINIVASA SATYANARAYANA</t>
  </si>
  <si>
    <t>01.10.1999</t>
  </si>
  <si>
    <t>9848495777
9393018065</t>
  </si>
  <si>
    <t>MOHAMMED HEENA BENAZEER</t>
  </si>
  <si>
    <t xml:space="preserve">GALIB SAHEB </t>
  </si>
  <si>
    <t>16.06.1999</t>
  </si>
  <si>
    <t>KARUPATI SPOORTHI</t>
  </si>
  <si>
    <t>K.SUDHAKAR</t>
  </si>
  <si>
    <t>24.12.1998</t>
  </si>
  <si>
    <t xml:space="preserve">9963662118
</t>
  </si>
  <si>
    <t>COPPALA VIKAS KUMAR</t>
  </si>
  <si>
    <t>RAVI BABU</t>
  </si>
  <si>
    <t>03.03.2000</t>
  </si>
  <si>
    <t>9440284485
9492386096</t>
  </si>
  <si>
    <t>MALLADI BHANU VENKATA SRI GAYATHRI</t>
  </si>
  <si>
    <t>M.RAVI SOMA SEKHAR</t>
  </si>
  <si>
    <t>7675009444
7673938444</t>
  </si>
  <si>
    <t>SAVARAPU TEJA SUNDER</t>
  </si>
  <si>
    <t>S.DANIEL SUNDERA JAMES</t>
  </si>
  <si>
    <t>18.08.1999</t>
  </si>
  <si>
    <t>9866388419
9394447796
8985647796</t>
  </si>
  <si>
    <t>YANNAM MOUNIKA</t>
  </si>
  <si>
    <t>Y.VEERA MOHANA RAO</t>
  </si>
  <si>
    <t>13.01.2001</t>
  </si>
  <si>
    <t>9948172678
9848757801
8008094267</t>
  </si>
  <si>
    <t>PEDDIREDDY SR.SRI SARAJITHA</t>
  </si>
  <si>
    <t>SATEESH</t>
  </si>
  <si>
    <t>21.07.2001</t>
  </si>
  <si>
    <t>9866000345
9959677788</t>
  </si>
  <si>
    <t>YANDAPALLI SRAVANTHI</t>
  </si>
  <si>
    <t>Y.NARASINGA RAO</t>
  </si>
  <si>
    <t>26.07.2000</t>
  </si>
  <si>
    <t>9440423245
9493690663</t>
  </si>
  <si>
    <t>KODURI TEJASWI</t>
  </si>
  <si>
    <t>K. RAMA MOHANA RAO</t>
  </si>
  <si>
    <t>28.10.2000</t>
  </si>
  <si>
    <t>9866119873
9989905714
9966637719</t>
  </si>
  <si>
    <t>NANDYALA VENKATA SUDHEER YADAV</t>
  </si>
  <si>
    <t>Y.SUBBAIAH</t>
  </si>
  <si>
    <t>9966396632
9676599009</t>
  </si>
  <si>
    <t>MUSINI GOHARDINI SAI</t>
  </si>
  <si>
    <t>M. SRINIVASA RAO</t>
  </si>
  <si>
    <t>9848862838
9666766839
9100363976</t>
  </si>
  <si>
    <t>CHALASANI MANI GEETHANKITHA</t>
  </si>
  <si>
    <t>CH. VENKATA RAMA PRASAD</t>
  </si>
  <si>
    <t xml:space="preserve">9849287289
</t>
  </si>
  <si>
    <t>YEGI LAVANYA</t>
  </si>
  <si>
    <t>Y.NAGESWARA RAO</t>
  </si>
  <si>
    <t>08.07.1999</t>
  </si>
  <si>
    <t>9470378890
8709742363
6205111483</t>
  </si>
  <si>
    <t>GUGGULOTU ANAGHA</t>
  </si>
  <si>
    <t>SRINIVASA NAIK</t>
  </si>
  <si>
    <t>12.08.1999</t>
  </si>
  <si>
    <t>7702882064
9393123019
9908865333</t>
  </si>
  <si>
    <t>CHILAKAMARTHI VAISHNAVI</t>
  </si>
  <si>
    <t>VENKATA SUBBA RAO</t>
  </si>
  <si>
    <t>08.10.2001</t>
  </si>
  <si>
    <t>9705655557
9440762847</t>
  </si>
  <si>
    <t>PALLEPAMULA CHETHANA</t>
  </si>
  <si>
    <t>RAJA BABU</t>
  </si>
  <si>
    <t>10.06.1999</t>
  </si>
  <si>
    <t>9701749991
9989107798</t>
  </si>
  <si>
    <t>PATTABHI SAM PRANEETH</t>
  </si>
  <si>
    <t>PRASANTH REDDY</t>
  </si>
  <si>
    <t>12.03.2000</t>
  </si>
  <si>
    <t>9492776272
08832449186
9490689636</t>
  </si>
  <si>
    <t>GOGULAPATI THANUSHA</t>
  </si>
  <si>
    <t>G.VENKATA INDRA KUMAR</t>
  </si>
  <si>
    <t>23.06.1999</t>
  </si>
  <si>
    <t>9885838519
9701590494</t>
  </si>
  <si>
    <t>YANNABATHULA BENCY ANGELINA</t>
  </si>
  <si>
    <t>BANTI</t>
  </si>
  <si>
    <t>10.07.2000</t>
  </si>
  <si>
    <t>9959485048
9989548252
9666779342</t>
  </si>
  <si>
    <t>GADEPALLI VENKATA RAMANA KALYANI</t>
  </si>
  <si>
    <t>G.SATYANARAYANA MURTHY</t>
  </si>
  <si>
    <t>14.02.2000</t>
  </si>
  <si>
    <t>9848257647
9110377671
8309728899</t>
  </si>
  <si>
    <t>PONNADA GEETHIKA</t>
  </si>
  <si>
    <t>PERAYYA RAJA BABU</t>
  </si>
  <si>
    <t>22.02.2001</t>
  </si>
  <si>
    <t>9177366499
8187845953</t>
  </si>
  <si>
    <t>PYLA SATYA VISHAL</t>
  </si>
  <si>
    <t xml:space="preserve">BABJI </t>
  </si>
  <si>
    <t>05.06.2000</t>
  </si>
  <si>
    <t>8143683309
9553174810
8688466399</t>
  </si>
  <si>
    <t>V.SRIVIDHYA</t>
  </si>
  <si>
    <t>R.VISWANATHAN</t>
  </si>
  <si>
    <t>26.07.1999</t>
  </si>
  <si>
    <t>9650912828
7836991430</t>
  </si>
  <si>
    <t>GAJULA LALITHA PRAPULLA SIRI</t>
  </si>
  <si>
    <t>G. SRIBRAHMANANDAM</t>
  </si>
  <si>
    <t>15.07.2001</t>
  </si>
  <si>
    <t>9676738888
9248738888
8790098542</t>
  </si>
  <si>
    <t>MAMIDI LOHITHA SAI</t>
  </si>
  <si>
    <t>M.NEHRU BABU</t>
  </si>
  <si>
    <t>08.08.1999</t>
  </si>
  <si>
    <t>9440632718
8309823282
9581816684</t>
  </si>
  <si>
    <t>BUDDE RAJ LUKE MOSES</t>
  </si>
  <si>
    <t>B.VARA PRASADA RAO</t>
  </si>
  <si>
    <t>19.11.2000</t>
  </si>
  <si>
    <t>9866232705
9949268709</t>
  </si>
  <si>
    <t>KEERTHI VENKATA SURENDRA</t>
  </si>
  <si>
    <t>HARANATHA BABU</t>
  </si>
  <si>
    <t>28.04.2001</t>
  </si>
  <si>
    <t>9866068979
9381614569</t>
  </si>
  <si>
    <t>NEETHALA ZION S.BILLY</t>
  </si>
  <si>
    <t>BILLY SOLMON SUKUMAR</t>
  </si>
  <si>
    <t>11.08.2001</t>
  </si>
  <si>
    <t>9347504929
7842667515</t>
  </si>
  <si>
    <t>SAI SRIYA VADDAVALLI</t>
  </si>
  <si>
    <t>V.  VENKATA SRINIVAS</t>
  </si>
  <si>
    <t>05.10.2000</t>
  </si>
  <si>
    <t>9848160950
9133388104</t>
  </si>
  <si>
    <t>POTTURI HIRANMAI</t>
  </si>
  <si>
    <t>PVNA S.SAI</t>
  </si>
  <si>
    <t>08.01.2001</t>
  </si>
  <si>
    <t>9701686485
9493442912
9063957565</t>
  </si>
  <si>
    <t>CHOPPALA ROHIT KALYAN</t>
  </si>
  <si>
    <t>32.05.2000</t>
  </si>
  <si>
    <t>7286067797
9491446391</t>
  </si>
  <si>
    <t>ABHISHEK GANTAYET</t>
  </si>
  <si>
    <t>MANAS RANJAN</t>
  </si>
  <si>
    <t>9440870288
8985947060</t>
  </si>
  <si>
    <t>MANISHA NAYAK</t>
  </si>
  <si>
    <t>MANOJ KUMAR NAYAK</t>
  </si>
  <si>
    <t>17.02.2000</t>
  </si>
  <si>
    <t>9440054265
7981189633</t>
  </si>
  <si>
    <t>GADA VIJAYA LAXMI</t>
  </si>
  <si>
    <t>BAPUJI</t>
  </si>
  <si>
    <t>18.01.2000</t>
  </si>
  <si>
    <t>9866192452
7729947666
8125592452</t>
  </si>
  <si>
    <t>PALAKALURI RAMA HIMABINDU</t>
  </si>
  <si>
    <t>BABU</t>
  </si>
  <si>
    <t>13.01.1999</t>
  </si>
  <si>
    <t>9908612189
9989059276
9989059274</t>
  </si>
  <si>
    <t>DIDDI VENKATA LAKSHMI RAJESWARI</t>
  </si>
  <si>
    <t>VEERA VENKATA SATYA SIVA KUMAR</t>
  </si>
  <si>
    <t>12.06.2001</t>
  </si>
  <si>
    <t>9966844777
8186844777
7731866386</t>
  </si>
  <si>
    <t>CHEBROLU SINDHURA KRISHNA</t>
  </si>
  <si>
    <t>30.07.2001</t>
  </si>
  <si>
    <t>9949197133
8374959644</t>
  </si>
  <si>
    <t>NAVYASREE TIRUVEEDHULA</t>
  </si>
  <si>
    <t>25.08.2000</t>
  </si>
  <si>
    <t>15.09.2018</t>
  </si>
  <si>
    <t>8374683758
9154443444
8333888828</t>
  </si>
  <si>
    <t>ACHUKATLA SHAIK MALLIKA SAIDABI</t>
  </si>
  <si>
    <t>SHAIK KARIMULLA</t>
  </si>
  <si>
    <t>28.07.2000</t>
  </si>
  <si>
    <t>9032470002
9603866309</t>
  </si>
  <si>
    <t>GONNABATTHULA BHARGAVI</t>
  </si>
  <si>
    <t>TRINADH</t>
  </si>
  <si>
    <t>14.09.2018</t>
  </si>
  <si>
    <t>9848360196
9966890046</t>
  </si>
  <si>
    <t>POTHAMSETTY NAVEEN KUMAR</t>
  </si>
  <si>
    <t>NARASIMHA RAO</t>
  </si>
  <si>
    <t>25.04.1999</t>
  </si>
  <si>
    <t>9398617381
7981644601</t>
  </si>
  <si>
    <t>CHITOORI RUPAS JOHN</t>
  </si>
  <si>
    <t>ANIL KSHIT RANJAN</t>
  </si>
  <si>
    <t>24.08.2001</t>
  </si>
  <si>
    <t>9849090878
8790470639
6303114668</t>
  </si>
  <si>
    <t>Standard Deviation</t>
  </si>
  <si>
    <t>Total No.of students admitted under General Category Quota : 37</t>
  </si>
  <si>
    <t>Total No.of students admitted under SC Category Quota  : 15</t>
  </si>
  <si>
    <t>Total No.of students admitted under ST Category Quota  : 6</t>
  </si>
  <si>
    <t>Total No.of students admitted under OBC Category Quota : 42</t>
  </si>
  <si>
    <t>Total No.of female students admitted. : 81</t>
  </si>
  <si>
    <t>LIST OF STUDENTS ADMITTED IN BDS COURSE FOR THE ACADEMIC SESSION  2017-18</t>
  </si>
  <si>
    <t>WHETHER QUALIFIED IN NEET-2017(YES/NO)</t>
  </si>
  <si>
    <t>AMBATI VENKATA SRI LEKHA</t>
  </si>
  <si>
    <t>VENKATA SURYA REDDY</t>
  </si>
  <si>
    <t>13.11.1998</t>
  </si>
  <si>
    <t>09.09.2017</t>
  </si>
  <si>
    <t>ROMALA YOGITHA</t>
  </si>
  <si>
    <t>VENKATA APPARAO</t>
  </si>
  <si>
    <t>10.09.2017</t>
  </si>
  <si>
    <t>BODDOJU NAGA VEERA VENKATA BHAVANI SANKAR</t>
  </si>
  <si>
    <t>NAGA MALLESWARA RAO</t>
  </si>
  <si>
    <t xml:space="preserve">BC </t>
  </si>
  <si>
    <t>10.08.1998</t>
  </si>
  <si>
    <t>KORIBILLI ROHIT SAI</t>
  </si>
  <si>
    <t>24.09.1998</t>
  </si>
  <si>
    <t>08.09.2017</t>
  </si>
  <si>
    <t>BOLLAPRAGADA VENKATA SATYA SAI CHARAN</t>
  </si>
  <si>
    <t>VENKATA SATYA PHANIKUMAR</t>
  </si>
  <si>
    <t>02.02.1998</t>
  </si>
  <si>
    <t xml:space="preserve"> KALIDINDI VARSHITHA RAJ</t>
  </si>
  <si>
    <t>V.SEETHA RAMA RAJU</t>
  </si>
  <si>
    <t>TUMMALAPALLI VENKATA HARSHITHA</t>
  </si>
  <si>
    <t>PEDA VEERANNA BABJI</t>
  </si>
  <si>
    <t>18.07.1999</t>
  </si>
  <si>
    <t>PUJA DARSHANA MISHRA</t>
  </si>
  <si>
    <t>JOGINDRA KUMAR MISHRA</t>
  </si>
  <si>
    <t>ANGADI LAVANYA</t>
  </si>
  <si>
    <t>DURGA RAO</t>
  </si>
  <si>
    <t>10.02.1998</t>
  </si>
  <si>
    <t>MANDA PRABHU  KIRAN</t>
  </si>
  <si>
    <t>15.10.1997</t>
  </si>
  <si>
    <t>MATTE RAMA DEVI</t>
  </si>
  <si>
    <t>10.10.1998</t>
  </si>
  <si>
    <t>RAYEE JAYA CHANDRA KUMAR</t>
  </si>
  <si>
    <t>JAYA RAJU</t>
  </si>
  <si>
    <t>06.06.1998</t>
  </si>
  <si>
    <t>SANDA VENKATA DIVYA JYOTHI</t>
  </si>
  <si>
    <t>27.7.1998</t>
  </si>
  <si>
    <t>POGULA SAMPATH KUMAR REDDY</t>
  </si>
  <si>
    <t>CHANDRA MOULESWARA  REDDY</t>
  </si>
  <si>
    <t>26.12.1996</t>
  </si>
  <si>
    <t>YARRABADI RAAGA SAHITHI</t>
  </si>
  <si>
    <t>26.05.1998</t>
  </si>
  <si>
    <t>MULUPURI DEVI AMRUTHA</t>
  </si>
  <si>
    <t>N.B.VARA PRASAD</t>
  </si>
  <si>
    <t>03.08.1999</t>
  </si>
  <si>
    <t>SANGADI LAKSHMI PRASANNA</t>
  </si>
  <si>
    <t>VEERA PRASADA RAO</t>
  </si>
  <si>
    <t>07.02.1998</t>
  </si>
  <si>
    <t>MAMIDI VIJAYA SREE LAKSHMI</t>
  </si>
  <si>
    <t>03.12.1998</t>
  </si>
  <si>
    <t>SHAIK ABBAS</t>
  </si>
  <si>
    <t>MASTHAN VALI</t>
  </si>
  <si>
    <t>21.06.1997</t>
  </si>
  <si>
    <t>CHAKKA ALEKHYA</t>
  </si>
  <si>
    <t>NARAYANA RAO</t>
  </si>
  <si>
    <t>17.04.1999</t>
  </si>
  <si>
    <t xml:space="preserve"> PULUSARI SAIKRISHNA</t>
  </si>
  <si>
    <t>SARANGAM</t>
  </si>
  <si>
    <t>12.01.1997</t>
  </si>
  <si>
    <t>KALYANAPU LAKSHMI PRIYANKA</t>
  </si>
  <si>
    <t>K.V. SATYANARAYANA</t>
  </si>
  <si>
    <t>16.05.1998</t>
  </si>
  <si>
    <t>MALLELA VENKATESWARA RAO</t>
  </si>
  <si>
    <t>SURENDRA BABU</t>
  </si>
  <si>
    <t>27.01.1997</t>
  </si>
  <si>
    <t>MURTHY LAKSHMI KALYANI</t>
  </si>
  <si>
    <t>MURTHY CHENNA KESAVA RAO</t>
  </si>
  <si>
    <t>16.04.1999</t>
  </si>
  <si>
    <t>PANDRAKULA SRI SWATHI</t>
  </si>
  <si>
    <t>26.08.1998</t>
  </si>
  <si>
    <t>RETURI PREETHI</t>
  </si>
  <si>
    <t>24.06.1998</t>
  </si>
  <si>
    <t>MANDA JYOSTNA</t>
  </si>
  <si>
    <t>JAYA PRAKASH</t>
  </si>
  <si>
    <t>MUNUKOTI JAHNAVI</t>
  </si>
  <si>
    <t xml:space="preserve">SATYANARAYANA </t>
  </si>
  <si>
    <t>18.05.1998</t>
  </si>
  <si>
    <t>02.08.2017</t>
  </si>
  <si>
    <t>KOLLIBOINA AKHIL</t>
  </si>
  <si>
    <t>19.03.1998</t>
  </si>
  <si>
    <t>SARVAKOTA BHAGYA SRI LAKSHMI</t>
  </si>
  <si>
    <t>GOPALA RAO</t>
  </si>
  <si>
    <t>21.09.1996</t>
  </si>
  <si>
    <t>28.07.2017</t>
  </si>
  <si>
    <t>MANASA CHERUVU</t>
  </si>
  <si>
    <t>SRINIVASA MURTHY</t>
  </si>
  <si>
    <t>09.05.2000</t>
  </si>
  <si>
    <t>24.08.2017</t>
  </si>
  <si>
    <t>HEMALATHA NAYUNIPATRUNI</t>
  </si>
  <si>
    <t>JOGA RAO</t>
  </si>
  <si>
    <t>28.02.1999</t>
  </si>
  <si>
    <t>29.08.2017</t>
  </si>
  <si>
    <t>AKHILANDESWARI DEVI BELLAM</t>
  </si>
  <si>
    <t>MURALIDHAR</t>
  </si>
  <si>
    <t>31.03.1998</t>
  </si>
  <si>
    <t>10.08.2017</t>
  </si>
  <si>
    <t>RAVIPALLI RAGA JYOTHSNA</t>
  </si>
  <si>
    <t>R.S.D. PRASADA RAO</t>
  </si>
  <si>
    <t>21.09.1999</t>
  </si>
  <si>
    <t>28.08.2017</t>
  </si>
  <si>
    <t>ARAVA ASHIK</t>
  </si>
  <si>
    <t>SRIRAMA MURTHY</t>
  </si>
  <si>
    <t>26.06.1999</t>
  </si>
  <si>
    <t>LEKKALA DIVYA SRI</t>
  </si>
  <si>
    <t>SOWJANYA KUTHADA</t>
  </si>
  <si>
    <t>15.11.1998</t>
  </si>
  <si>
    <t>IVATURI NAGA SURYA AKHILA</t>
  </si>
  <si>
    <t>PAVAN KUMAR</t>
  </si>
  <si>
    <t>10.08.2000</t>
  </si>
  <si>
    <t>23.08.2017</t>
  </si>
  <si>
    <t>S.SUHEENA FATHIMA</t>
  </si>
  <si>
    <t>SATHIK BACHA</t>
  </si>
  <si>
    <t>22.07.1999</t>
  </si>
  <si>
    <t>MALTHI ANUSRI SAI RAMYA GEETHIKA</t>
  </si>
  <si>
    <t>VEERA VENKATA PRASAD</t>
  </si>
  <si>
    <t>30.07.1999</t>
  </si>
  <si>
    <t>NALLAMILLI MEGHANA REDDY</t>
  </si>
  <si>
    <t>26.05.1999</t>
  </si>
  <si>
    <t>UPASARTHI DINESH</t>
  </si>
  <si>
    <t>YEDUKONDALU</t>
  </si>
  <si>
    <t>05.05.1999</t>
  </si>
  <si>
    <t>KOTHA KAVYA SREE</t>
  </si>
  <si>
    <t>13.06.1999</t>
  </si>
  <si>
    <t>TIYYAGURA KEERTHI</t>
  </si>
  <si>
    <t>BASIVI REDDY</t>
  </si>
  <si>
    <t>21.02.2000</t>
  </si>
  <si>
    <t>REKAPALLI RISHITA VENKATA SWETHA</t>
  </si>
  <si>
    <t>06.09.1998</t>
  </si>
  <si>
    <t>29.8.2017</t>
  </si>
  <si>
    <t>MADDIPATI YAMINI SYAMALATHA</t>
  </si>
  <si>
    <t>18.05.1999</t>
  </si>
  <si>
    <t>MOHAMMED AMEENA MEHANAZ ALI</t>
  </si>
  <si>
    <t>MOHAMMED ALI</t>
  </si>
  <si>
    <t>15.01.1999</t>
  </si>
  <si>
    <t xml:space="preserve">MAJJI VEERENDRA </t>
  </si>
  <si>
    <t>11.04.1998</t>
  </si>
  <si>
    <t>KANCHUMARTHI JAYA PRAKASH</t>
  </si>
  <si>
    <t>01.12.1997</t>
  </si>
  <si>
    <t>MOLLI SUBHADRA</t>
  </si>
  <si>
    <t>M.SRINIVASA RAO</t>
  </si>
  <si>
    <t>ANISHAVALLI ANUMULA SETTY</t>
  </si>
  <si>
    <t>A.SRINIVASA MURTHY</t>
  </si>
  <si>
    <t>02.01.1999</t>
  </si>
  <si>
    <t>31.07.2017</t>
  </si>
  <si>
    <t xml:space="preserve">                                                                                                                                                                                                                                                                                                                                                                                                         </t>
  </si>
  <si>
    <t>ATLURI SUSWARA</t>
  </si>
  <si>
    <t>08.09.1998</t>
  </si>
  <si>
    <t>04.08.2017</t>
  </si>
  <si>
    <t>LOKAREDDY HEMALATHA</t>
  </si>
  <si>
    <t>APPARAO</t>
  </si>
  <si>
    <t>28.11.1999</t>
  </si>
  <si>
    <t>VARAHANKURI KOLLU</t>
  </si>
  <si>
    <t>K. APPA RAO</t>
  </si>
  <si>
    <t>22.05.1999</t>
  </si>
  <si>
    <t>DANTULURI SRUJINI</t>
  </si>
  <si>
    <t>D.SRINIVASA RAJU</t>
  </si>
  <si>
    <t>03.12.2000</t>
  </si>
  <si>
    <t>POTU KALA PRASANNA</t>
  </si>
  <si>
    <t>P.KAMESWARA RAO</t>
  </si>
  <si>
    <t>09.07.1999</t>
  </si>
  <si>
    <t>SREE SAGARI KOPPISETTY</t>
  </si>
  <si>
    <t>SURYA SEKHARA RAO</t>
  </si>
  <si>
    <t>18.01.1999</t>
  </si>
  <si>
    <t>03.08.2017</t>
  </si>
  <si>
    <t>VETSA SAHITHI SOUNDARYA</t>
  </si>
  <si>
    <t>SK.CHAKRAVARTHY</t>
  </si>
  <si>
    <t>24.05.1999</t>
  </si>
  <si>
    <t>PEDDINTI ANUSHA</t>
  </si>
  <si>
    <t>ALAHASINGARACHARYULU</t>
  </si>
  <si>
    <t>18.05.2000</t>
  </si>
  <si>
    <t>CHITTAJALLU SRI NAGA SAI RANI</t>
  </si>
  <si>
    <t>31.05.1998</t>
  </si>
  <si>
    <t>SANIVARAPU NAMRATA</t>
  </si>
  <si>
    <t>HANIMI REDDY</t>
  </si>
  <si>
    <t>GUDALA SPURTHI</t>
  </si>
  <si>
    <t>RAMA KRISHNA</t>
  </si>
  <si>
    <t>PADMA SRAVYA KOYYALAMUDI</t>
  </si>
  <si>
    <t>07.05.2000</t>
  </si>
  <si>
    <t>SOLLETI VELUGONDA MADHU SRAVANTHI</t>
  </si>
  <si>
    <t>NARASIMHULU</t>
  </si>
  <si>
    <t>06.01.1999</t>
  </si>
  <si>
    <t>05.08.2017</t>
  </si>
  <si>
    <t>NALLAMOLU SAI SANNIDHI</t>
  </si>
  <si>
    <t xml:space="preserve">SRINIVAS </t>
  </si>
  <si>
    <t>02.04.2000</t>
  </si>
  <si>
    <t>NADELLA NISHITHA CHOWDARY</t>
  </si>
  <si>
    <t>SAMBA SIVA RAO</t>
  </si>
  <si>
    <t>10.02.2000</t>
  </si>
  <si>
    <t>KESANAPALLI SRI LAKSHMI BHAVYA SOWJANYA</t>
  </si>
  <si>
    <t>VEERA VENKATA SATYANARAYANA</t>
  </si>
  <si>
    <t>14.04.1999</t>
  </si>
  <si>
    <t>DATLA SAI SIVANI</t>
  </si>
  <si>
    <t>KRISHNA VARMA</t>
  </si>
  <si>
    <t>18.12.1998</t>
  </si>
  <si>
    <t>DEVISETTI PRANATHI</t>
  </si>
  <si>
    <t>VENKATA NAGA VARA PRASAD RAO</t>
  </si>
  <si>
    <t>KAJA NAGA KANAKA LAKSHMI BHAVANA</t>
  </si>
  <si>
    <t>KMVSS KUMAR</t>
  </si>
  <si>
    <t>10.12.1999</t>
  </si>
  <si>
    <t>01.08.2017</t>
  </si>
  <si>
    <t>FARIDA JAFFAR</t>
  </si>
  <si>
    <t>MOHAMMAD MIR JAFFAR ALI</t>
  </si>
  <si>
    <t>24.03.1999</t>
  </si>
  <si>
    <t>MALEMPATI ABHINAYA</t>
  </si>
  <si>
    <t>KRISHNA RAO</t>
  </si>
  <si>
    <t>09.08.1999</t>
  </si>
  <si>
    <t>CHALLA VENKATA NAGA SREE CHANDANA</t>
  </si>
  <si>
    <t>SURYA VENKATA DURGA PRASAD</t>
  </si>
  <si>
    <t>03.10.1997</t>
  </si>
  <si>
    <t>MADDU LAKSHMI SWETHA</t>
  </si>
  <si>
    <t>VEERA VENKATA JAGAN MOHAN RAO</t>
  </si>
  <si>
    <t>10.11.1998</t>
  </si>
  <si>
    <t>GORREMUTCHU NIHARIKA</t>
  </si>
  <si>
    <t>JUDSON MOSES</t>
  </si>
  <si>
    <t>06.08.1999</t>
  </si>
  <si>
    <t>MADDU AMRUTHA</t>
  </si>
  <si>
    <t>PARVATEESAM</t>
  </si>
  <si>
    <t>07.06.1999</t>
  </si>
  <si>
    <t>KOYYALAMUDI VAMSI KRISHNA</t>
  </si>
  <si>
    <t>DORABABU</t>
  </si>
  <si>
    <t>5.06.1997</t>
  </si>
  <si>
    <t>NISTLA NISHVI KAMESWARI</t>
  </si>
  <si>
    <t>KAMESWARA RAO</t>
  </si>
  <si>
    <t>04.08.17</t>
  </si>
  <si>
    <t>PEDAPATI ANUDEEP</t>
  </si>
  <si>
    <t>UTTAMKUMAR</t>
  </si>
  <si>
    <t>07.12.1998</t>
  </si>
  <si>
    <t>JUTTUKA SANTHOSH MOULI</t>
  </si>
  <si>
    <t>SATYANNARAYANA</t>
  </si>
  <si>
    <t>17.1.1999</t>
  </si>
  <si>
    <t>PREETHI SANJANA RAVI</t>
  </si>
  <si>
    <t>PRAVEENDAS</t>
  </si>
  <si>
    <t>23.11.1998</t>
  </si>
  <si>
    <t>VENNELA ALURI</t>
  </si>
  <si>
    <t>ANJANEYA PRASAD</t>
  </si>
  <si>
    <t>11.03.2000</t>
  </si>
  <si>
    <t>YERUVU MOUNIKA</t>
  </si>
  <si>
    <t xml:space="preserve">SRINIVASA REDDY </t>
  </si>
  <si>
    <t>27.03.1999</t>
  </si>
  <si>
    <t>14.08.2017</t>
  </si>
  <si>
    <t>KANCHARLA SIVA SAMYUKTHA</t>
  </si>
  <si>
    <t>VENKATRATNAM</t>
  </si>
  <si>
    <t xml:space="preserve"> </t>
  </si>
  <si>
    <t>PADALA GEETHA LAKSHMI</t>
  </si>
  <si>
    <t>17.08.2017</t>
  </si>
  <si>
    <t>VYTLA KAVYA</t>
  </si>
  <si>
    <t>02.10.1999</t>
  </si>
  <si>
    <t>BALLEPU SUSHANTHI</t>
  </si>
  <si>
    <t>23.12.1997</t>
  </si>
  <si>
    <t>M.V.SUSHMA</t>
  </si>
  <si>
    <t>MS RAO</t>
  </si>
  <si>
    <t>26.08.1999</t>
  </si>
  <si>
    <t>APARNA BALIVADA</t>
  </si>
  <si>
    <t>KANAKALINGESWARA RAO</t>
  </si>
  <si>
    <t>SAKA ROJA VINEETHA</t>
  </si>
  <si>
    <t>SATYA SUDARSHANA RAJU</t>
  </si>
  <si>
    <t>09.10.1997</t>
  </si>
  <si>
    <t>NALABATI MANASA UDAYA</t>
  </si>
  <si>
    <t>SATYAMANOHARA RAO</t>
  </si>
  <si>
    <t>09.12.1998</t>
  </si>
  <si>
    <t>BOMMANABOINA MOUNIKA</t>
  </si>
  <si>
    <t>01.09.1998</t>
  </si>
  <si>
    <t>GORLE VENKATA SAI INDIRA NIHARIKA</t>
  </si>
  <si>
    <t>SANYASIRAO</t>
  </si>
  <si>
    <t>29.10.2000</t>
  </si>
  <si>
    <t>YEDRU LAKSHMI SAI SRI</t>
  </si>
  <si>
    <t>SURESH CHOWDARY</t>
  </si>
  <si>
    <t>04.08.1999</t>
  </si>
  <si>
    <t>NAGAM BHANU PRIYANKA</t>
  </si>
  <si>
    <t>VV SATYANARAYANA MURTHY</t>
  </si>
  <si>
    <t>24.04.2000</t>
  </si>
  <si>
    <t>16.08.2017</t>
  </si>
  <si>
    <t>VAKA NANDHINI VARA PRASANNA DEVIKA</t>
  </si>
  <si>
    <t>VENKATA RAVI KUMAR</t>
  </si>
  <si>
    <t>09.03.1999</t>
  </si>
  <si>
    <t>SAVARAPU HAVILAH DEEPIKA</t>
  </si>
  <si>
    <t>ISRAEL PAUL</t>
  </si>
  <si>
    <t>TRIPURANENI DHANYA HARIKA</t>
  </si>
  <si>
    <t>VENKATA RAMANA RAO</t>
  </si>
  <si>
    <t>PRAGNA PARIMITHA JAJAM</t>
  </si>
  <si>
    <t>RAMAKRISHNA JANARDHANA RAO</t>
  </si>
  <si>
    <t>29.08.1999</t>
  </si>
  <si>
    <t>KARRA SYAMALA</t>
  </si>
  <si>
    <t xml:space="preserve">VENKATA RAMANA  </t>
  </si>
  <si>
    <t>01.08.1999</t>
  </si>
  <si>
    <t>Total No.of students admitted under General Category Quota : 49</t>
  </si>
  <si>
    <t>Total No.of students admitted under OBC Category Quota : 36</t>
  </si>
  <si>
    <t>Total No.of female students admitted. : 83</t>
  </si>
  <si>
    <t>LIST OF STUDENTS ADMITTED IN BDS COURSE FOR THE ACADEMIC SESSION  2016-17</t>
  </si>
  <si>
    <t>PERCENTAGE(%)OF MARKS  OBTAINED IN CET (FOR STATE GOVT. QUOTA ONLY)IF THE STATE GOVT. HAS NOT OPTED FOR NEET 2016</t>
  </si>
  <si>
    <t>WHETHER QUALIFIED IN NEET-2016(YES/NO)</t>
  </si>
  <si>
    <t>KAVURI ROSHINI</t>
  </si>
  <si>
    <t>13.07.1998</t>
  </si>
  <si>
    <t>ISAAC PRABHAVATHI</t>
  </si>
  <si>
    <t>NA</t>
  </si>
  <si>
    <t>30.9.2016</t>
  </si>
  <si>
    <t>T.NAGA VENKATA DURGA</t>
  </si>
  <si>
    <t>29.03.1997</t>
  </si>
  <si>
    <t>VENKATARAMANA</t>
  </si>
  <si>
    <t>76..37</t>
  </si>
  <si>
    <t>BACHU SVSL RATNA MANJUSHA</t>
  </si>
  <si>
    <t>14.07.1997</t>
  </si>
  <si>
    <t>B.SURYANARAYANA</t>
  </si>
  <si>
    <t>30.09.2016</t>
  </si>
  <si>
    <t>JALLU TUSHARIKA</t>
  </si>
  <si>
    <t>J.CHINNARAO</t>
  </si>
  <si>
    <t>03.10.2016</t>
  </si>
  <si>
    <t>MOHAMMED NEESARA BEGUM</t>
  </si>
  <si>
    <t>30.12.1994</t>
  </si>
  <si>
    <t>MD.RAHAMAN BAIG</t>
  </si>
  <si>
    <t>CH.DEVI SRI VIDYA</t>
  </si>
  <si>
    <t>08.08.1997</t>
  </si>
  <si>
    <t>CH.SATYANARAYANA</t>
  </si>
  <si>
    <t>06.10.2016</t>
  </si>
  <si>
    <t>D.S.N.BHARATHI YADAV</t>
  </si>
  <si>
    <t>D.B.NAGESWARA RAO</t>
  </si>
  <si>
    <t>G.MEGHANA</t>
  </si>
  <si>
    <t>26.10.1998</t>
  </si>
  <si>
    <t>G.RAVI KUMAR</t>
  </si>
  <si>
    <t>T.S.NAYAK</t>
  </si>
  <si>
    <t>30.06.1996</t>
  </si>
  <si>
    <t>T.S.RAMULU</t>
  </si>
  <si>
    <t>KUSUMANJANI LAKSHMI DEVI.K</t>
  </si>
  <si>
    <t>05.12.1998</t>
  </si>
  <si>
    <t>KONDALA RAO</t>
  </si>
  <si>
    <t>MANJU YADAV.B</t>
  </si>
  <si>
    <t>23.11.1997</t>
  </si>
  <si>
    <t>RAVIKUMAR YADAV</t>
  </si>
  <si>
    <t>M.GOWTHAMI</t>
  </si>
  <si>
    <t>30.04.1997</t>
  </si>
  <si>
    <t>M.PADMINI</t>
  </si>
  <si>
    <t>01.08.1996</t>
  </si>
  <si>
    <t>GOPALA KRISHNA</t>
  </si>
  <si>
    <t>A.D.S.SUBRAHMANYAM</t>
  </si>
  <si>
    <t>17.03.1999</t>
  </si>
  <si>
    <t>BHASKARA RAO</t>
  </si>
  <si>
    <t xml:space="preserve">G.TEJASWI </t>
  </si>
  <si>
    <t>17.07.1999</t>
  </si>
  <si>
    <t>G.R.R.GIRI PRASAD</t>
  </si>
  <si>
    <t>M.V.N.HIMAJA</t>
  </si>
  <si>
    <t>29.06.1998</t>
  </si>
  <si>
    <t>M.R.BHUVANESWAR</t>
  </si>
  <si>
    <t>SATYA GOWTHAM PRABHUDEV.P</t>
  </si>
  <si>
    <t>20.11.1993</t>
  </si>
  <si>
    <t>SASIDHAR</t>
  </si>
  <si>
    <t>S.AYESHA AFSANA</t>
  </si>
  <si>
    <t>03.02.1998</t>
  </si>
  <si>
    <t>RAMEEJA</t>
  </si>
  <si>
    <t>K.SPANDANA</t>
  </si>
  <si>
    <t>CHINNA BAI DORA</t>
  </si>
  <si>
    <t>M.BHARATHI</t>
  </si>
  <si>
    <t>04.08.1998</t>
  </si>
  <si>
    <t>APPALAKONDA</t>
  </si>
  <si>
    <t>SHINY KUMMARI</t>
  </si>
  <si>
    <t>05.12.1997</t>
  </si>
  <si>
    <t>SHAIK HEERA AHMADUNNISA</t>
  </si>
  <si>
    <t>20.06.1998</t>
  </si>
  <si>
    <t>SHAIK NAGOOR MEERA</t>
  </si>
  <si>
    <t>B.MOSES MANOHAR</t>
  </si>
  <si>
    <t>27.10.1997</t>
  </si>
  <si>
    <t>JOSEPH</t>
  </si>
  <si>
    <t>01.10.2016</t>
  </si>
  <si>
    <t>N.SAI TEJA</t>
  </si>
  <si>
    <t>04.02.1998</t>
  </si>
  <si>
    <t>G.B.SAI.SRI LEKHA</t>
  </si>
  <si>
    <t>P.SRI SAI SRUTHI</t>
  </si>
  <si>
    <t>29.04.1998</t>
  </si>
  <si>
    <t>VENKATA SESHAGIRI PRASAD</t>
  </si>
  <si>
    <t>27.09.2016</t>
  </si>
  <si>
    <t xml:space="preserve">M.VANDITHA </t>
  </si>
  <si>
    <t>30.07.1997</t>
  </si>
  <si>
    <t>M.SURI BABU</t>
  </si>
  <si>
    <t>S.SANDEEP</t>
  </si>
  <si>
    <t>29.12.1998</t>
  </si>
  <si>
    <t>KASI RAJU</t>
  </si>
  <si>
    <t>K.APARNA</t>
  </si>
  <si>
    <t>01.07.1997</t>
  </si>
  <si>
    <t>SIMHACHALAM</t>
  </si>
  <si>
    <t>29.9.2016</t>
  </si>
  <si>
    <t>T.DIVYA SAI CHARITHA</t>
  </si>
  <si>
    <t>11.11.1998</t>
  </si>
  <si>
    <t>GOVARDHANA 
RAO</t>
  </si>
  <si>
    <t>27.9.2016</t>
  </si>
  <si>
    <t>M.S.SRAVANI</t>
  </si>
  <si>
    <t>06.03.1996</t>
  </si>
  <si>
    <t>28.9.2016</t>
  </si>
  <si>
    <t>CH.V.P.SRIHARSHA</t>
  </si>
  <si>
    <t>05.04.1997</t>
  </si>
  <si>
    <t>K.NAGA LAVANYA</t>
  </si>
  <si>
    <t>04.11.1997</t>
  </si>
  <si>
    <t>VARA PRASAD</t>
  </si>
  <si>
    <t>K.DURGA PRASAD</t>
  </si>
  <si>
    <t>15.06.1998</t>
  </si>
  <si>
    <t>K.THENDRAL</t>
  </si>
  <si>
    <t>30.10.1998</t>
  </si>
  <si>
    <t>SRINIVASAN</t>
  </si>
  <si>
    <t>04.10.1997</t>
  </si>
  <si>
    <t>D.SWETHA REDDY</t>
  </si>
  <si>
    <t>NEHRU</t>
  </si>
  <si>
    <t>CH.B.PRATYUSHA</t>
  </si>
  <si>
    <t>02.12.1998</t>
  </si>
  <si>
    <t>LAKSHMI VENKATA GANAPATHI</t>
  </si>
  <si>
    <t>A.L.SUJAYA</t>
  </si>
  <si>
    <t>16.08.1997</t>
  </si>
  <si>
    <t>ANANDA BABU</t>
  </si>
  <si>
    <t>G.SAMAIKYA</t>
  </si>
  <si>
    <t>27.11.1997</t>
  </si>
  <si>
    <t>MARTIN</t>
  </si>
  <si>
    <t>K.SIRIL ABHISHEK</t>
  </si>
  <si>
    <t>11.12.1997</t>
  </si>
  <si>
    <t>SURESH KUMAR</t>
  </si>
  <si>
    <t>N.SREESAHAJA</t>
  </si>
  <si>
    <t>13.08.1998</t>
  </si>
  <si>
    <t>N.T.NAIDU</t>
  </si>
  <si>
    <t>28.09.2016</t>
  </si>
  <si>
    <t>V.THRISHALI</t>
  </si>
  <si>
    <t>SRINIVASARAO</t>
  </si>
  <si>
    <t>G.DIVYASRI</t>
  </si>
  <si>
    <t>26.12.1998</t>
  </si>
  <si>
    <t>NARASIMARAO</t>
  </si>
  <si>
    <t>N.SWATHI</t>
  </si>
  <si>
    <t>30.12.1996</t>
  </si>
  <si>
    <t>RATNA RAJU</t>
  </si>
  <si>
    <t>V.DIVYA</t>
  </si>
  <si>
    <t>22.06.1998</t>
  </si>
  <si>
    <t>KRISHNABABU</t>
  </si>
  <si>
    <t>07.10.2016</t>
  </si>
  <si>
    <t>G.HEMA SAILAJA</t>
  </si>
  <si>
    <t>03.08.1997</t>
  </si>
  <si>
    <t>K.ANUSHA</t>
  </si>
  <si>
    <t>06.10.1997</t>
  </si>
  <si>
    <t>K.V.R.MAHESWAR</t>
  </si>
  <si>
    <t>K.ALEKHYA</t>
  </si>
  <si>
    <t>24.02.1997</t>
  </si>
  <si>
    <t>K.PRABHKARA RAO</t>
  </si>
  <si>
    <t>KORANGI HARINJITHA</t>
  </si>
  <si>
    <t>04.01.1999</t>
  </si>
  <si>
    <t>K.VENKATESWARA RAO</t>
  </si>
  <si>
    <t>JAJAM SAI KRISHNA MANIKANTA</t>
  </si>
  <si>
    <t>02.05.1997</t>
  </si>
  <si>
    <t>13.09.16</t>
  </si>
  <si>
    <t>VEMPATI SRAVYA</t>
  </si>
  <si>
    <t>25.07.1997</t>
  </si>
  <si>
    <t>08.09.16</t>
  </si>
  <si>
    <t>KORUKONDA ANKITA</t>
  </si>
  <si>
    <t>17.05.1997</t>
  </si>
  <si>
    <t>K.S.NARAYANA</t>
  </si>
  <si>
    <t>12.09.16</t>
  </si>
  <si>
    <t>BANDI HARISH VENKATA NARASIMHA RAO</t>
  </si>
  <si>
    <t>30.05.1998</t>
  </si>
  <si>
    <t>ANJAN KUMAR</t>
  </si>
  <si>
    <t>KALUMULA HARIKA</t>
  </si>
  <si>
    <t>27.02.1999</t>
  </si>
  <si>
    <t>SHANKAR</t>
  </si>
  <si>
    <t>THANNIRU TIRUMALA DEVI</t>
  </si>
  <si>
    <t>28.10.1997</t>
  </si>
  <si>
    <t>BRAHMAIAH</t>
  </si>
  <si>
    <t>AAVS SIDDHARDHA</t>
  </si>
  <si>
    <t>09.12.1997</t>
  </si>
  <si>
    <t>LAKSHMI NARAYANA SARMA</t>
  </si>
  <si>
    <t>29.09.2016</t>
  </si>
  <si>
    <t>SYAMALA DHARANI</t>
  </si>
  <si>
    <t>03.08.1996</t>
  </si>
  <si>
    <t>SUBBA REDDY</t>
  </si>
  <si>
    <t>VANKUDOTHU VINITHA</t>
  </si>
  <si>
    <t>02.07.1997</t>
  </si>
  <si>
    <t>RAMULU</t>
  </si>
  <si>
    <t>BANTUPALLI SAI PRATHYUSHA</t>
  </si>
  <si>
    <t>16.09.1996</t>
  </si>
  <si>
    <t>B.V.RAMANA MURTHY</t>
  </si>
  <si>
    <t>MOHANA RUPA GAYATHRI JAMMULA</t>
  </si>
  <si>
    <t>26.07.1998</t>
  </si>
  <si>
    <t>MANASA GAJIBILLI</t>
  </si>
  <si>
    <t>15.05.1997</t>
  </si>
  <si>
    <t>YUDHISTI KUMAR</t>
  </si>
  <si>
    <t>KATHIREDDYGARI JAYASREE</t>
  </si>
  <si>
    <t>23.03.1998</t>
  </si>
  <si>
    <t>PRABHAKARA REDDY</t>
  </si>
  <si>
    <t>B.MANISHA</t>
  </si>
  <si>
    <t>09.09.1998</t>
  </si>
  <si>
    <t>PALGUNA RAO</t>
  </si>
  <si>
    <t>SINDHU CHIMATA</t>
  </si>
  <si>
    <t>12.06.1998</t>
  </si>
  <si>
    <t>VENKATA RAO</t>
  </si>
  <si>
    <t>PALLI KAVYA MEGHANA</t>
  </si>
  <si>
    <t>17.05.1998</t>
  </si>
  <si>
    <t>P.V.V.SATYANARAYANA MURTHY</t>
  </si>
  <si>
    <t>GANTALA LUKE SOLOMON RAJ</t>
  </si>
  <si>
    <t>21.01.1996</t>
  </si>
  <si>
    <t>SWAMY DAS</t>
  </si>
  <si>
    <t>BATHINA NAVYA</t>
  </si>
  <si>
    <t>22.08.1996</t>
  </si>
  <si>
    <t>B.VENU</t>
  </si>
  <si>
    <t>KARANAM SRAVYA</t>
  </si>
  <si>
    <t>08.12.1997</t>
  </si>
  <si>
    <t>SUROTHAMA RAO</t>
  </si>
  <si>
    <t>TAMMU LIKITHA SAI SRI</t>
  </si>
  <si>
    <t>NAYINI SRAVYA</t>
  </si>
  <si>
    <t>24.05.1997</t>
  </si>
  <si>
    <t>GUNNAM ROJA RANI</t>
  </si>
  <si>
    <t>25.02.1997</t>
  </si>
  <si>
    <t>V.V.SATYANARAYANA CHOWDARY</t>
  </si>
  <si>
    <t>KUCHERLA TABITA VENEELA</t>
  </si>
  <si>
    <t>08.08.1998</t>
  </si>
  <si>
    <t>JOGAIAH</t>
  </si>
  <si>
    <t>VIPPARTHI RESHMA</t>
  </si>
  <si>
    <t>17.03.1998</t>
  </si>
  <si>
    <t>PORIKA ANIL KUMAR</t>
  </si>
  <si>
    <t>06.11.1996</t>
  </si>
  <si>
    <t>DEV SINGH</t>
  </si>
  <si>
    <t>ANNALADASU NANDINI ROY</t>
  </si>
  <si>
    <t>08.01.1997</t>
  </si>
  <si>
    <t>VIJAY KUMAR</t>
  </si>
  <si>
    <t>KANITHI SAI DATTA</t>
  </si>
  <si>
    <t>13.10.1999</t>
  </si>
  <si>
    <t>UPENDRA RAO</t>
  </si>
  <si>
    <t>KARRI VINEETHA</t>
  </si>
  <si>
    <t>15.03.1997</t>
  </si>
  <si>
    <t>VEERA RAGHAVA DEVI</t>
  </si>
  <si>
    <t>NOOKALA SRI GANGA</t>
  </si>
  <si>
    <t>NVNS NAGESH</t>
  </si>
  <si>
    <t>DADALA PAUL JEMIMAH</t>
  </si>
  <si>
    <t>13.06.1998</t>
  </si>
  <si>
    <t>VICTOR SAMUEL</t>
  </si>
  <si>
    <t>GUDE SUMANOGNA</t>
  </si>
  <si>
    <t>B.RUTH VERONICA</t>
  </si>
  <si>
    <t>25.03.1998</t>
  </si>
  <si>
    <t>SURA AMANI</t>
  </si>
  <si>
    <t>04.07.1998</t>
  </si>
  <si>
    <t>NEMALIPURI HARIPRIYA</t>
  </si>
  <si>
    <t>02.04.1997</t>
  </si>
  <si>
    <t>DURGA SIRNIVASA RAO</t>
  </si>
  <si>
    <t>RANGASAMUDRAM ANITHA</t>
  </si>
  <si>
    <t>02.06.1998</t>
  </si>
  <si>
    <t>RAMANJANEYA REDDY</t>
  </si>
  <si>
    <t>TADALA MADHU</t>
  </si>
  <si>
    <t>06.10.1994</t>
  </si>
  <si>
    <t>SEELAM GOPIKA JAHNAVI</t>
  </si>
  <si>
    <t>09.08.1998</t>
  </si>
  <si>
    <t>SATYA SAI BABA</t>
  </si>
  <si>
    <t>A. TUSHARA PRIYA</t>
  </si>
  <si>
    <t>RAMASUBRAHMANYAM</t>
  </si>
  <si>
    <t>MANAM BLESSY ANUSHA</t>
  </si>
  <si>
    <t>29.12.1996</t>
  </si>
  <si>
    <t>SEETHARAMAIAH</t>
  </si>
  <si>
    <t>CHINNAM MANASA</t>
  </si>
  <si>
    <t>29.05.1998</t>
  </si>
  <si>
    <t>JACOB RAJU</t>
  </si>
  <si>
    <t>ROBBI KIRANMAYE</t>
  </si>
  <si>
    <t>14.12.1998</t>
  </si>
  <si>
    <t>DERANGULA REBCA SRI SINDHU</t>
  </si>
  <si>
    <t>11.01.1999</t>
  </si>
  <si>
    <t>RAMESH KUMAR</t>
  </si>
  <si>
    <t>JERRIPOTHULA .PRATYUSHA RANI</t>
  </si>
  <si>
    <t>31.03.1999</t>
  </si>
  <si>
    <t>RAJESH</t>
  </si>
  <si>
    <t>PALLAVI SABAVAT</t>
  </si>
  <si>
    <t>19.06.1998</t>
  </si>
  <si>
    <t>BALARAM SABAVAT</t>
  </si>
  <si>
    <t>MOLLETI SHYAMILI</t>
  </si>
  <si>
    <t>15.06.1997</t>
  </si>
  <si>
    <t>APPALANAIDU</t>
  </si>
  <si>
    <t>VAKA JASWANTH KUMAR</t>
  </si>
  <si>
    <t>20.07.1998</t>
  </si>
  <si>
    <t>CHINNA REDDY</t>
  </si>
  <si>
    <t>08.09.2016</t>
  </si>
  <si>
    <t>TALAGANI JABILI</t>
  </si>
  <si>
    <t>03.09.1998</t>
  </si>
  <si>
    <t>NARASINGARAO</t>
  </si>
  <si>
    <t>SINGOTHU VENKATA SURESH</t>
  </si>
  <si>
    <t>09.06.1998</t>
  </si>
  <si>
    <t>VENKATA SWAMY</t>
  </si>
  <si>
    <t>CHATRAGADDA JYOSHNAVI</t>
  </si>
  <si>
    <t>31.12.1997</t>
  </si>
  <si>
    <t xml:space="preserve">RAVIKUMAR  </t>
  </si>
  <si>
    <t>P. RASHMAI SATYA PALLAVI</t>
  </si>
  <si>
    <t>Total No.of students admitted under General Category Quota : 32</t>
  </si>
  <si>
    <t>Total No.of students admitted under SC Category Quota  : 20</t>
  </si>
  <si>
    <t>Total No.of students admitted under ST Category Quota  : 06</t>
  </si>
  <si>
    <t>Total No.of female students admitted. : 82</t>
  </si>
  <si>
    <t>LIST OF STUDENTS ADMITTED IN MDS COURSE FOR THE ACADEMIC SESSION  2019-20</t>
  </si>
  <si>
    <t>PERCENTAGE(%)OF MARKS TAKEN  BDS (QUALIFYING EXAM)</t>
  </si>
  <si>
    <t>NAME OF THE DEPARTMENT</t>
  </si>
  <si>
    <t>WHETHER QUALIFIED IN NEET-2019(YES/NO)</t>
  </si>
  <si>
    <t>POSTAL ADDRESS</t>
  </si>
  <si>
    <t>2019D01401</t>
  </si>
  <si>
    <t xml:space="preserve">ROHINI NEELAPALA </t>
  </si>
  <si>
    <t>VENKATA VENUGOPAL</t>
  </si>
  <si>
    <t>22.10.1994</t>
  </si>
  <si>
    <t>20.04.2019</t>
  </si>
  <si>
    <t>9492252334
7702772481</t>
  </si>
  <si>
    <t>D.NO.86-10-09/3, G.V.S.APPARAO STREET. TO;AK ROAD, RAJAHMUNDRY</t>
  </si>
  <si>
    <t>2019D01402</t>
  </si>
  <si>
    <t>CHALLA SURYA VENKATA SAI RAM</t>
  </si>
  <si>
    <t>29.07.1995</t>
  </si>
  <si>
    <t>30.04.2019</t>
  </si>
  <si>
    <t>9177773682
8897471617
8897782254</t>
  </si>
  <si>
    <t>D.NO.2-44-1, BHASKAR NAGAR, NEAR ADITYA SRINAGAR PUBLIC SCHOOL, KAKINADA-533003</t>
  </si>
  <si>
    <t>2019D01403</t>
  </si>
  <si>
    <t>GANNAMANI LAKSHMI GANAPATHI SAI PRUDHVI KUMAR</t>
  </si>
  <si>
    <t>17.08.1995</t>
  </si>
  <si>
    <t>02.05.2019</t>
  </si>
  <si>
    <t>9866787520
8500138532
9398850377</t>
  </si>
  <si>
    <t>D.NO.6-33, KAPOLA VEEDHI, MANDAPAKA, TANUKU MANDAL</t>
  </si>
  <si>
    <t>2019D01404</t>
  </si>
  <si>
    <t>ANUKOLU MOUNIKA</t>
  </si>
  <si>
    <t>VENKATA SUBBA REDDY</t>
  </si>
  <si>
    <t>02.05.1994</t>
  </si>
  <si>
    <t>D.NO.7-4-67/A, CHEMULURU VILLAGE, MYDUKUR ROAD, BADWEL, KADAPA-516502</t>
  </si>
  <si>
    <t>2019D01405</t>
  </si>
  <si>
    <t>NACHU LAKSHMI MANOJNA</t>
  </si>
  <si>
    <t>DURGA PRASAD</t>
  </si>
  <si>
    <t>05.04.1994</t>
  </si>
  <si>
    <t>09.05.2019</t>
  </si>
  <si>
    <t>9705433336
9666645889</t>
  </si>
  <si>
    <t>D.NO.15-15-5, NACHUVARI STREET, BHIMAVARAM.</t>
  </si>
  <si>
    <t>2019D01406</t>
  </si>
  <si>
    <t>MONDRETI NAGA CHARISHMA</t>
  </si>
  <si>
    <t>29.06.1996</t>
  </si>
  <si>
    <t>9573954533
8790707729</t>
  </si>
  <si>
    <t>D.NO.102-7-10, NAVBHARAT NAGAR, 2ND STREET, BOMMURU, RAJAHMUNDRY-533124</t>
  </si>
  <si>
    <t>2019D01407</t>
  </si>
  <si>
    <t>KOMMALAPATI VATSALYA</t>
  </si>
  <si>
    <t>RAMA RAO</t>
  </si>
  <si>
    <t>28.06.1995</t>
  </si>
  <si>
    <t>5855</t>
  </si>
  <si>
    <t>30.05.2019</t>
  </si>
  <si>
    <t>D.NO.54-16-7/6, NOEL VILL, 1ST FLOOR, LOYAL COLLEGE ROAD, VENKATESWARA NAGAR, VIJAYAWADA</t>
  </si>
  <si>
    <t>2019D01408</t>
  </si>
  <si>
    <t>BENDALAM KAVYA</t>
  </si>
  <si>
    <t>DHANUMJAYUDU</t>
  </si>
  <si>
    <t>24.07.1995</t>
  </si>
  <si>
    <t>22.04.2019</t>
  </si>
  <si>
    <t>9441346571
9493342961
9490800751</t>
  </si>
  <si>
    <t>D.NO.7-273, POODI VEEDHI KAVETI, KOTTURU, KAVETI, SRIKAKULAM-532322</t>
  </si>
  <si>
    <t>2019D01409</t>
  </si>
  <si>
    <t>NARAYANAM BHARGAVI</t>
  </si>
  <si>
    <t>JANAKIRAMAYYA</t>
  </si>
  <si>
    <t>09.07.1995</t>
  </si>
  <si>
    <t>9490972205
7075951415</t>
  </si>
  <si>
    <t>DNO.6-7-32, CHINNAVEEDHI, VIZIANAGARAM-535001</t>
  </si>
  <si>
    <t>2019D01410</t>
  </si>
  <si>
    <t>DUDEKULA MOULAL BEE</t>
  </si>
  <si>
    <t>GOUSUPEERA</t>
  </si>
  <si>
    <t>21.05.1993</t>
  </si>
  <si>
    <t>9.05.2019</t>
  </si>
  <si>
    <t>9441165781
9100272175</t>
  </si>
  <si>
    <t>D.No.1-202, NAGIREDDY COLONY, PAMIDI MANDAL, ANANTHAPUR DISTRICT</t>
  </si>
  <si>
    <t>2019D01411</t>
  </si>
  <si>
    <t>PURLATAKI SAI SWETHA</t>
  </si>
  <si>
    <t>RAMACHANDRA RAO</t>
  </si>
  <si>
    <t>16.08.1994</t>
  </si>
  <si>
    <t>27.05.2019</t>
  </si>
  <si>
    <t>9848455077
9848755077</t>
  </si>
  <si>
    <t>5A, SRI SAI ENCLAVE, CHAITANYAPURI 2ND LANE, SAI BABA ROAD, GUNTUR</t>
  </si>
  <si>
    <t>2019D01412</t>
  </si>
  <si>
    <t>KOLLABATHULA SANDHYA RANI</t>
  </si>
  <si>
    <t>SURYA NARAYANA</t>
  </si>
  <si>
    <t>01.06.1979</t>
  </si>
  <si>
    <t>15.04.2019</t>
  </si>
  <si>
    <t>9848099085
9490041715</t>
  </si>
  <si>
    <t>D.NO.6-59-7/2, 3RD FLOOR, STREET NO.5, SRAMILLA NAGAR, CHINNAGANTYADA POST, GAJUWAKA, VISAKHAPATNAM</t>
  </si>
  <si>
    <t>2019D01413</t>
  </si>
  <si>
    <t>ATLURI NAGA SUPRAJA</t>
  </si>
  <si>
    <t>A.SATHEESH KUMAR</t>
  </si>
  <si>
    <t>08.06.1996</t>
  </si>
  <si>
    <t>9441154396
7989856996</t>
  </si>
  <si>
    <t>FLAT NO.204, SAGAR RESIDENCY, RANGA NAGAR, CHINTALA, MEDCHAL, MALKAJGIRI DISTRICT</t>
  </si>
  <si>
    <t>2019D01414</t>
  </si>
  <si>
    <t>KALLAKURI MOUNIKA</t>
  </si>
  <si>
    <t>K.RAM MOHAN</t>
  </si>
  <si>
    <t>25.08.1996</t>
  </si>
  <si>
    <t>29.04.2019</t>
  </si>
  <si>
    <t>9849778485
8129363567
9494363567</t>
  </si>
  <si>
    <t>D.NO.14-9-9, KONDAVARI STREET, NEAR SIVALAYAM TMPLEM, PEDDAPURAM-533437</t>
  </si>
  <si>
    <t>2019D01415</t>
  </si>
  <si>
    <t>ABDUL RIYAZ SHAIK</t>
  </si>
  <si>
    <t>ABDUL SATTAR SHAIK</t>
  </si>
  <si>
    <t>01.07.1981</t>
  </si>
  <si>
    <t>13.04.2019</t>
  </si>
  <si>
    <t>9866125720
8885577341</t>
  </si>
  <si>
    <t>FLAT NO.303, VENKAT GIRI APARTMENT, VIDYANAGAR, GUNTUR</t>
  </si>
  <si>
    <t>2019D01416</t>
  </si>
  <si>
    <t>BUDDHA SUKUMAR</t>
  </si>
  <si>
    <t>19.12.1993</t>
  </si>
  <si>
    <t>9849226611
8341602799</t>
  </si>
  <si>
    <t>D.NO.18/10/23, BG NAIDU STREET, GAVARAPALEM, ANAKAPALLI.</t>
  </si>
  <si>
    <t>2019D01417</t>
  </si>
  <si>
    <t>P.S.S.MEGHANA SRI RAVALI</t>
  </si>
  <si>
    <t>SRIKRISHNA</t>
  </si>
  <si>
    <t>11.08.1994</t>
  </si>
  <si>
    <t>8978136363
8897136363</t>
  </si>
  <si>
    <t>D.NO.68-2-17, ASHOK NAGAR, NEAR KARANAM GARI JUNCTION KAKINADA</t>
  </si>
  <si>
    <t>2019D01418</t>
  </si>
  <si>
    <t>SILKY TEJA DEVARAPALLI</t>
  </si>
  <si>
    <t>PRABHAKARA RAO</t>
  </si>
  <si>
    <t>06.05.1982</t>
  </si>
  <si>
    <t>12.04.2019</t>
  </si>
  <si>
    <t>9059447734
9966889945</t>
  </si>
  <si>
    <t>D.NO.34-12-547, 13TH LANE, SARADA COLONY, GUNTUR</t>
  </si>
  <si>
    <t>2019D01419</t>
  </si>
  <si>
    <t>GOSALA BINDU MADHAVI</t>
  </si>
  <si>
    <t>MURALI KRISHNA</t>
  </si>
  <si>
    <t>22.04.1992</t>
  </si>
  <si>
    <t>D.NO.12-68/20, VIJAYALAKSHMI TOWERS, SANATH NAGAR ROAD, KANURU, VIJAYAWADA.</t>
  </si>
  <si>
    <t>2019D01420</t>
  </si>
  <si>
    <t>GANNI LAKSHMI SRI DIVYA</t>
  </si>
  <si>
    <t>G.V.SURYA NARAYANA</t>
  </si>
  <si>
    <t>24.05.1996</t>
  </si>
  <si>
    <t xml:space="preserve">Dr.Ganni Lakshmi Sri Divya,
D/o G.v.surya Narayana,
Gangarajunagar, Road No.3, Valasapakala,
Kakinada
</t>
  </si>
  <si>
    <t>2019D01421</t>
  </si>
  <si>
    <t>PANDIRI PRANAY KRISHNA</t>
  </si>
  <si>
    <t>NARASINGA RAO</t>
  </si>
  <si>
    <t>21.06.1993</t>
  </si>
  <si>
    <t>9908342003
9701006945</t>
  </si>
  <si>
    <t>H.NO.1-7-1320/2, D.NO.101, HANAMKONDA ADVOCATES COLONY, NIKHIL APARTMENTS, BALASAMUDRAM, WARANGAL.</t>
  </si>
  <si>
    <t>bc-7</t>
  </si>
  <si>
    <t>sc-3</t>
  </si>
  <si>
    <t>oc-11</t>
  </si>
  <si>
    <t xml:space="preserve">Total No.of students admitted :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</si>
</sst>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0.00_);\(0.00\)"/>
    <numFmt numFmtId="166" formatCode="0.00;[Red]0.00"/>
  </numFmts>
  <fonts count="14" x14ac:knownFonts="1">
    <font>
      <sz val="11"/>
      <color theme="1"/>
      <name val="Calibri"/>
      <family val="2"/>
      <scheme val="minor"/>
    </font>
    <font>
      <b/>
      <sz val="14"/>
      <color theme="1"/>
      <name val="Times New Roman"/>
      <family val="1"/>
    </font>
    <font>
      <b/>
      <sz val="11"/>
      <color theme="1"/>
      <name val="Times New Roman"/>
      <family val="1"/>
    </font>
    <font>
      <sz val="12"/>
      <color theme="1"/>
      <name val="Times New Roman"/>
      <family val="1"/>
    </font>
    <font>
      <b/>
      <sz val="12"/>
      <color theme="1"/>
      <name val="Times New Roman"/>
      <family val="1"/>
    </font>
    <font>
      <sz val="11"/>
      <color theme="1"/>
      <name val="Times New Roman"/>
      <family val="1"/>
    </font>
    <font>
      <sz val="9"/>
      <color theme="1"/>
      <name val="Times New Roman"/>
      <family val="1"/>
    </font>
    <font>
      <b/>
      <sz val="11"/>
      <color theme="1"/>
      <name val="Calibri"/>
      <family val="2"/>
      <scheme val="minor"/>
    </font>
    <font>
      <sz val="12"/>
      <color theme="1"/>
      <name val="Calibri"/>
      <family val="2"/>
      <scheme val="minor"/>
    </font>
    <font>
      <sz val="12"/>
      <color rgb="FFFF0000"/>
      <name val="Times New Roman"/>
      <family val="1"/>
    </font>
    <font>
      <sz val="12"/>
      <name val="Times New Roman"/>
      <family val="1"/>
    </font>
    <font>
      <sz val="11"/>
      <color rgb="FFFF0000"/>
      <name val="Times New Roman"/>
      <family val="1"/>
    </font>
    <font>
      <sz val="12"/>
      <color theme="1"/>
      <name val="Bookman Old Style"/>
      <family val="1"/>
    </font>
    <font>
      <sz val="14"/>
      <color theme="1"/>
      <name val="Calibri"/>
      <family val="2"/>
      <scheme val="minor"/>
    </font>
  </fonts>
  <fills count="3">
    <fill>
      <patternFill patternType="none"/>
    </fill>
    <fill>
      <patternFill patternType="gray125"/>
    </fill>
    <fill>
      <patternFill patternType="solid">
        <fgColor theme="0"/>
        <bgColor indexed="64"/>
      </patternFill>
    </fill>
  </fills>
  <borders count="12">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dotted">
        <color indexed="64"/>
      </left>
      <right style="dotted">
        <color indexed="64"/>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style="dotted">
        <color indexed="64"/>
      </right>
      <top/>
      <bottom style="dotted">
        <color indexed="64"/>
      </bottom>
      <diagonal/>
    </border>
    <border>
      <left/>
      <right style="dotted">
        <color indexed="64"/>
      </right>
      <top/>
      <bottom style="dotted">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32">
    <xf numFmtId="0" fontId="0" fillId="0" borderId="0" xfId="0"/>
    <xf numFmtId="0" fontId="3" fillId="0" borderId="2" xfId="0" applyFont="1" applyBorder="1" applyAlignment="1">
      <alignment horizontal="center" vertical="center" wrapText="1"/>
    </xf>
    <xf numFmtId="0" fontId="4" fillId="0" borderId="2" xfId="0" applyFont="1" applyBorder="1" applyAlignment="1">
      <alignment horizontal="center" vertical="center" wrapText="1"/>
    </xf>
    <xf numFmtId="0" fontId="3" fillId="2" borderId="2" xfId="0" applyFont="1" applyFill="1" applyBorder="1" applyAlignment="1">
      <alignment horizontal="left" vertical="center" wrapText="1"/>
    </xf>
    <xf numFmtId="0" fontId="3" fillId="0" borderId="2" xfId="0" applyFont="1" applyFill="1" applyBorder="1" applyAlignment="1">
      <alignment horizontal="center" vertical="center" wrapText="1"/>
    </xf>
    <xf numFmtId="0" fontId="3" fillId="0" borderId="2" xfId="0" quotePrefix="1" applyFont="1" applyBorder="1" applyAlignment="1">
      <alignment horizontal="center" vertical="center" wrapText="1"/>
    </xf>
    <xf numFmtId="0" fontId="3" fillId="2" borderId="2" xfId="0" applyFont="1" applyFill="1" applyBorder="1" applyAlignment="1">
      <alignment horizontal="center" vertical="center" wrapText="1"/>
    </xf>
    <xf numFmtId="0" fontId="4" fillId="0" borderId="2" xfId="0" applyFont="1" applyBorder="1" applyAlignment="1">
      <alignment horizontal="center"/>
    </xf>
    <xf numFmtId="0" fontId="3" fillId="0" borderId="2" xfId="0" quotePrefix="1" applyFont="1" applyFill="1" applyBorder="1" applyAlignment="1">
      <alignment horizontal="center" vertical="center" wrapText="1"/>
    </xf>
    <xf numFmtId="0" fontId="5" fillId="2" borderId="2" xfId="0" applyFont="1" applyFill="1" applyBorder="1" applyAlignment="1">
      <alignment horizontal="center" vertical="center"/>
    </xf>
    <xf numFmtId="0" fontId="5" fillId="2" borderId="2" xfId="0" applyFont="1" applyFill="1" applyBorder="1" applyAlignment="1">
      <alignment vertical="center" wrapText="1"/>
    </xf>
    <xf numFmtId="0" fontId="6" fillId="0" borderId="2" xfId="0" applyFont="1" applyFill="1" applyBorder="1" applyAlignment="1">
      <alignment horizontal="center" vertical="center" textRotation="90" wrapText="1"/>
    </xf>
    <xf numFmtId="0" fontId="3" fillId="2" borderId="2" xfId="0" applyFont="1" applyFill="1" applyBorder="1" applyAlignment="1">
      <alignment vertical="center" wrapText="1"/>
    </xf>
    <xf numFmtId="0" fontId="4" fillId="0" borderId="7" xfId="0" applyFont="1" applyFill="1" applyBorder="1" applyAlignment="1">
      <alignment horizontal="center" vertical="center" wrapText="1"/>
    </xf>
    <xf numFmtId="0" fontId="0" fillId="0" borderId="2" xfId="0" applyBorder="1"/>
    <xf numFmtId="0" fontId="4" fillId="0" borderId="8"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2" xfId="0" quotePrefix="1" applyFont="1" applyFill="1" applyBorder="1" applyAlignment="1">
      <alignment horizontal="center" vertical="center" wrapText="1"/>
    </xf>
    <xf numFmtId="0" fontId="3" fillId="0" borderId="2" xfId="0" applyFont="1" applyBorder="1" applyAlignment="1">
      <alignment horizontal="left" vertical="center" wrapText="1"/>
    </xf>
    <xf numFmtId="0" fontId="3" fillId="0" borderId="2" xfId="0" applyFont="1" applyBorder="1" applyAlignment="1">
      <alignment vertical="center" wrapText="1"/>
    </xf>
    <xf numFmtId="49" fontId="3" fillId="0" borderId="2" xfId="0" applyNumberFormat="1" applyFont="1" applyBorder="1" applyAlignment="1">
      <alignment horizontal="center" vertical="center" wrapText="1"/>
    </xf>
    <xf numFmtId="0" fontId="3" fillId="0" borderId="2" xfId="0" applyFont="1" applyBorder="1" applyAlignment="1">
      <alignment horizontal="center" vertical="center" textRotation="90" wrapText="1"/>
    </xf>
    <xf numFmtId="0" fontId="3" fillId="0" borderId="2" xfId="0" applyFont="1" applyFill="1" applyBorder="1" applyAlignment="1">
      <alignment horizontal="center" vertical="center" textRotation="90" wrapText="1"/>
    </xf>
    <xf numFmtId="0" fontId="0" fillId="0" borderId="2" xfId="0" applyBorder="1" applyAlignment="1">
      <alignment horizontal="center" wrapText="1"/>
    </xf>
    <xf numFmtId="0" fontId="5" fillId="2" borderId="2" xfId="0" applyFont="1" applyFill="1" applyBorder="1" applyAlignment="1">
      <alignment horizontal="left" vertical="center" wrapText="1"/>
    </xf>
    <xf numFmtId="165" fontId="3" fillId="0" borderId="2" xfId="0" applyNumberFormat="1" applyFont="1" applyFill="1" applyBorder="1" applyAlignment="1">
      <alignment vertical="center"/>
    </xf>
    <xf numFmtId="0" fontId="3" fillId="0" borderId="0" xfId="0" applyFont="1" applyAlignment="1">
      <alignment horizontal="center" vertical="center" wrapText="1"/>
    </xf>
    <xf numFmtId="0" fontId="3" fillId="0" borderId="0" xfId="0" applyFont="1" applyAlignment="1">
      <alignment vertical="center" wrapText="1"/>
    </xf>
    <xf numFmtId="0" fontId="5" fillId="2" borderId="2" xfId="0" applyFont="1" applyFill="1" applyBorder="1" applyAlignment="1">
      <alignment horizontal="center" vertical="center" wrapText="1"/>
    </xf>
    <xf numFmtId="0" fontId="3" fillId="0" borderId="2" xfId="0" applyFont="1" applyBorder="1" applyAlignment="1">
      <alignment vertical="center"/>
    </xf>
    <xf numFmtId="165" fontId="5" fillId="0" borderId="2" xfId="0" applyNumberFormat="1" applyFont="1" applyFill="1" applyBorder="1" applyAlignment="1">
      <alignment vertical="center"/>
    </xf>
    <xf numFmtId="0" fontId="5" fillId="0" borderId="2" xfId="0" applyFont="1" applyBorder="1" applyAlignment="1">
      <alignment horizontal="center" vertical="center" wrapText="1"/>
    </xf>
    <xf numFmtId="0" fontId="5" fillId="0" borderId="2" xfId="0" applyFont="1" applyBorder="1" applyAlignment="1">
      <alignment vertical="center" wrapText="1"/>
    </xf>
    <xf numFmtId="0" fontId="3" fillId="0" borderId="2" xfId="0" applyFont="1" applyFill="1" applyBorder="1" applyAlignment="1">
      <alignment vertical="center" wrapText="1"/>
    </xf>
    <xf numFmtId="0" fontId="3" fillId="0" borderId="2" xfId="0" applyFont="1" applyFill="1" applyBorder="1" applyAlignment="1">
      <alignment horizontal="left" vertical="center" wrapText="1"/>
    </xf>
    <xf numFmtId="0" fontId="3" fillId="0" borderId="2" xfId="0" applyFont="1" applyFill="1" applyBorder="1" applyAlignment="1">
      <alignment horizontal="center" vertical="center"/>
    </xf>
    <xf numFmtId="0" fontId="9" fillId="0" borderId="2" xfId="0" applyFont="1" applyFill="1" applyBorder="1" applyAlignment="1">
      <alignment vertical="center" wrapText="1"/>
    </xf>
    <xf numFmtId="0" fontId="3" fillId="0" borderId="7" xfId="0" applyFont="1" applyFill="1" applyBorder="1" applyAlignment="1">
      <alignment vertical="center" wrapText="1"/>
    </xf>
    <xf numFmtId="0" fontId="3" fillId="0" borderId="7" xfId="0" applyFont="1" applyFill="1" applyBorder="1" applyAlignment="1">
      <alignment horizontal="center" vertical="center" wrapText="1"/>
    </xf>
    <xf numFmtId="0" fontId="5" fillId="0" borderId="2" xfId="0" applyFont="1" applyBorder="1" applyAlignment="1">
      <alignment horizontal="left" vertical="center" wrapText="1"/>
    </xf>
    <xf numFmtId="0" fontId="0" fillId="0" borderId="0" xfId="0" applyAlignment="1">
      <alignment vertical="center"/>
    </xf>
    <xf numFmtId="0" fontId="5" fillId="0" borderId="0" xfId="0" applyFont="1" applyBorder="1" applyAlignment="1">
      <alignment horizontal="center" vertical="center"/>
    </xf>
    <xf numFmtId="0" fontId="5" fillId="0" borderId="0" xfId="0" quotePrefix="1" applyFont="1" applyBorder="1" applyAlignment="1">
      <alignment horizontal="center" vertical="center"/>
    </xf>
    <xf numFmtId="0" fontId="0" fillId="0" borderId="0" xfId="0" applyBorder="1" applyAlignment="1">
      <alignment vertical="center"/>
    </xf>
    <xf numFmtId="0" fontId="5" fillId="2" borderId="0" xfId="0" applyFont="1" applyFill="1" applyBorder="1" applyAlignment="1">
      <alignment vertical="center"/>
    </xf>
    <xf numFmtId="0" fontId="5" fillId="2" borderId="0" xfId="0" applyFont="1" applyFill="1" applyBorder="1" applyAlignment="1">
      <alignment horizontal="center" vertical="center"/>
    </xf>
    <xf numFmtId="0" fontId="3" fillId="0" borderId="0" xfId="0" applyFont="1" applyAlignment="1">
      <alignment vertical="center"/>
    </xf>
    <xf numFmtId="0" fontId="4" fillId="0" borderId="2" xfId="0" applyFont="1" applyFill="1" applyBorder="1" applyAlignment="1">
      <alignment horizontal="center" vertical="center" wrapText="1"/>
    </xf>
    <xf numFmtId="164" fontId="5" fillId="2" borderId="2" xfId="0" applyNumberFormat="1" applyFont="1" applyFill="1" applyBorder="1" applyAlignment="1">
      <alignment horizontal="center" vertical="center" wrapText="1"/>
    </xf>
    <xf numFmtId="164" fontId="5" fillId="2" borderId="2" xfId="0" applyNumberFormat="1" applyFont="1" applyFill="1" applyBorder="1" applyAlignment="1">
      <alignment horizontal="center" vertical="center"/>
    </xf>
    <xf numFmtId="164" fontId="5" fillId="0" borderId="2" xfId="0" applyNumberFormat="1" applyFont="1" applyBorder="1" applyAlignment="1">
      <alignment horizontal="center" vertical="center" wrapText="1"/>
    </xf>
    <xf numFmtId="49" fontId="5" fillId="0" borderId="2" xfId="0" applyNumberFormat="1" applyFont="1" applyBorder="1" applyAlignment="1">
      <alignment horizontal="center" vertical="center" wrapText="1"/>
    </xf>
    <xf numFmtId="0" fontId="0" fillId="0" borderId="2" xfId="0" applyBorder="1" applyAlignment="1">
      <alignment wrapText="1"/>
    </xf>
    <xf numFmtId="0" fontId="0" fillId="0" borderId="2" xfId="0" applyBorder="1" applyAlignment="1">
      <alignment vertical="center"/>
    </xf>
    <xf numFmtId="0" fontId="0" fillId="0" borderId="2" xfId="0" applyFont="1" applyBorder="1" applyAlignment="1">
      <alignment wrapText="1"/>
    </xf>
    <xf numFmtId="164" fontId="0" fillId="2" borderId="2" xfId="0" applyNumberFormat="1" applyFont="1" applyFill="1" applyBorder="1" applyAlignment="1">
      <alignment horizontal="center" vertical="center"/>
    </xf>
    <xf numFmtId="0" fontId="5" fillId="0" borderId="2" xfId="0" applyFont="1" applyBorder="1" applyAlignment="1">
      <alignment horizontal="center" wrapText="1"/>
    </xf>
    <xf numFmtId="0" fontId="12" fillId="0" borderId="2" xfId="0" applyFont="1" applyBorder="1" applyAlignment="1">
      <alignment vertical="center"/>
    </xf>
    <xf numFmtId="0" fontId="0" fillId="0" borderId="0" xfId="0" applyFill="1"/>
    <xf numFmtId="0" fontId="4" fillId="0" borderId="2" xfId="0" applyFont="1" applyFill="1" applyBorder="1" applyAlignment="1">
      <alignment horizontal="center"/>
    </xf>
    <xf numFmtId="0" fontId="2" fillId="0" borderId="2" xfId="0" applyFont="1" applyFill="1" applyBorder="1" applyAlignment="1">
      <alignment horizontal="center"/>
    </xf>
    <xf numFmtId="164" fontId="3" fillId="0" borderId="2" xfId="0" applyNumberFormat="1" applyFont="1" applyFill="1" applyBorder="1" applyAlignment="1">
      <alignment horizontal="center" vertical="center" wrapText="1"/>
    </xf>
    <xf numFmtId="0" fontId="0" fillId="0" borderId="2" xfId="0" applyFill="1" applyBorder="1" applyAlignment="1">
      <alignment horizontal="center" wrapText="1"/>
    </xf>
    <xf numFmtId="0" fontId="3" fillId="0" borderId="2" xfId="0" applyFont="1" applyFill="1" applyBorder="1" applyAlignment="1">
      <alignment horizontal="center" wrapText="1"/>
    </xf>
    <xf numFmtId="164" fontId="3" fillId="0" borderId="2" xfId="0" applyNumberFormat="1" applyFont="1" applyFill="1" applyBorder="1" applyAlignment="1">
      <alignment horizontal="center" vertical="center"/>
    </xf>
    <xf numFmtId="0" fontId="3" fillId="0" borderId="2" xfId="0" applyFont="1" applyFill="1" applyBorder="1"/>
    <xf numFmtId="0" fontId="3" fillId="0" borderId="2" xfId="0" applyFont="1" applyFill="1" applyBorder="1" applyAlignment="1">
      <alignment horizontal="center"/>
    </xf>
    <xf numFmtId="2" fontId="3" fillId="0" borderId="2" xfId="0" applyNumberFormat="1" applyFont="1" applyFill="1" applyBorder="1" applyAlignment="1">
      <alignment horizontal="center"/>
    </xf>
    <xf numFmtId="2" fontId="3" fillId="0" borderId="2" xfId="0" applyNumberFormat="1"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2" xfId="0" applyFont="1" applyFill="1" applyBorder="1" applyAlignment="1">
      <alignment horizontal="left" vertical="center" wrapText="1"/>
    </xf>
    <xf numFmtId="0" fontId="5" fillId="0" borderId="2" xfId="0" applyFont="1" applyFill="1" applyBorder="1" applyAlignment="1">
      <alignment horizontal="center" vertical="center"/>
    </xf>
    <xf numFmtId="0" fontId="3" fillId="0" borderId="2" xfId="0" applyFont="1" applyFill="1" applyBorder="1" applyAlignment="1">
      <alignment vertical="center"/>
    </xf>
    <xf numFmtId="2" fontId="8" fillId="0" borderId="2" xfId="0" applyNumberFormat="1" applyFont="1" applyFill="1" applyBorder="1" applyAlignment="1">
      <alignment horizontal="center" vertical="center" wrapText="1"/>
    </xf>
    <xf numFmtId="0" fontId="3" fillId="0" borderId="0" xfId="0" applyFont="1" applyFill="1" applyAlignment="1">
      <alignment horizontal="center" vertical="center" wrapText="1"/>
    </xf>
    <xf numFmtId="0" fontId="0" fillId="0" borderId="0" xfId="0" applyFill="1" applyAlignment="1">
      <alignment wrapText="1"/>
    </xf>
    <xf numFmtId="165" fontId="7" fillId="0" borderId="0" xfId="0" applyNumberFormat="1" applyFont="1" applyFill="1"/>
    <xf numFmtId="0" fontId="3" fillId="0" borderId="0" xfId="0" applyFont="1" applyFill="1" applyAlignment="1">
      <alignment vertical="center" wrapText="1"/>
    </xf>
    <xf numFmtId="0" fontId="3" fillId="0" borderId="0" xfId="0" applyFont="1" applyFill="1" applyAlignment="1">
      <alignment horizontal="center"/>
    </xf>
    <xf numFmtId="0" fontId="3" fillId="0" borderId="3" xfId="0" applyFont="1" applyFill="1" applyBorder="1" applyAlignment="1">
      <alignment horizontal="center" wrapText="1"/>
    </xf>
    <xf numFmtId="0" fontId="3" fillId="0" borderId="4" xfId="0" applyFont="1" applyFill="1" applyBorder="1" applyAlignment="1">
      <alignment horizontal="center" wrapText="1"/>
    </xf>
    <xf numFmtId="0" fontId="3" fillId="0" borderId="0" xfId="0" applyFont="1" applyFill="1" applyBorder="1" applyAlignment="1">
      <alignment horizontal="center" wrapText="1"/>
    </xf>
    <xf numFmtId="0" fontId="0" fillId="0" borderId="5" xfId="0" applyFill="1" applyBorder="1" applyAlignment="1">
      <alignment horizontal="center" wrapText="1"/>
    </xf>
    <xf numFmtId="0" fontId="0" fillId="0" borderId="6" xfId="0" applyFill="1" applyBorder="1" applyAlignment="1">
      <alignment horizontal="center" wrapText="1"/>
    </xf>
    <xf numFmtId="0" fontId="0" fillId="0" borderId="0" xfId="0" applyFill="1" applyBorder="1" applyAlignment="1">
      <alignment horizontal="center" wrapText="1"/>
    </xf>
    <xf numFmtId="0" fontId="2" fillId="0" borderId="2" xfId="0" applyFont="1" applyFill="1" applyBorder="1" applyAlignment="1">
      <alignment horizontal="center" vertical="center"/>
    </xf>
    <xf numFmtId="164" fontId="0" fillId="0" borderId="2" xfId="0" applyNumberFormat="1" applyFill="1" applyBorder="1" applyAlignment="1">
      <alignment horizontal="center" vertical="center"/>
    </xf>
    <xf numFmtId="0" fontId="0" fillId="0" borderId="2" xfId="0" applyFill="1" applyBorder="1" applyAlignment="1">
      <alignment horizontal="center"/>
    </xf>
    <xf numFmtId="49" fontId="3" fillId="0" borderId="2" xfId="0" applyNumberFormat="1" applyFont="1" applyFill="1" applyBorder="1" applyAlignment="1">
      <alignment horizontal="center" vertical="center" wrapText="1"/>
    </xf>
    <xf numFmtId="0" fontId="5" fillId="0" borderId="2" xfId="0" applyFont="1" applyFill="1" applyBorder="1" applyAlignment="1">
      <alignment vertical="center" wrapText="1"/>
    </xf>
    <xf numFmtId="0" fontId="10" fillId="0" borderId="2" xfId="0" applyFont="1" applyFill="1" applyBorder="1" applyAlignment="1">
      <alignment vertical="center" wrapText="1"/>
    </xf>
    <xf numFmtId="0" fontId="11" fillId="0" borderId="2" xfId="0" applyFont="1" applyFill="1" applyBorder="1" applyAlignment="1">
      <alignment horizontal="left" vertical="center" wrapText="1"/>
    </xf>
    <xf numFmtId="0" fontId="9" fillId="0" borderId="2" xfId="0" applyFont="1" applyFill="1" applyBorder="1" applyAlignment="1">
      <alignment vertical="center"/>
    </xf>
    <xf numFmtId="0" fontId="0" fillId="0" borderId="2" xfId="0" applyFill="1" applyBorder="1"/>
    <xf numFmtId="165" fontId="0" fillId="0" borderId="2" xfId="0" applyNumberFormat="1" applyFill="1" applyBorder="1"/>
    <xf numFmtId="0" fontId="4" fillId="0" borderId="2" xfId="0" applyFont="1" applyFill="1" applyBorder="1" applyAlignment="1">
      <alignment horizontal="center" vertical="center"/>
    </xf>
    <xf numFmtId="166" fontId="3" fillId="0" borderId="2" xfId="0" applyNumberFormat="1" applyFont="1" applyFill="1" applyBorder="1" applyAlignment="1">
      <alignment vertical="center"/>
    </xf>
    <xf numFmtId="166" fontId="3" fillId="0" borderId="2" xfId="0" applyNumberFormat="1" applyFont="1" applyFill="1" applyBorder="1" applyAlignment="1">
      <alignment vertical="center" wrapText="1"/>
    </xf>
    <xf numFmtId="0" fontId="2" fillId="0" borderId="0" xfId="0" applyFont="1" applyFill="1"/>
    <xf numFmtId="0" fontId="0" fillId="0" borderId="0" xfId="0" applyFont="1" applyFill="1"/>
    <xf numFmtId="0" fontId="3" fillId="0" borderId="11" xfId="0" applyFont="1" applyFill="1" applyBorder="1" applyAlignment="1">
      <alignment horizontal="center" vertical="center" wrapText="1"/>
    </xf>
    <xf numFmtId="164" fontId="0" fillId="0" borderId="2" xfId="0" applyNumberFormat="1" applyFont="1" applyFill="1" applyBorder="1" applyAlignment="1">
      <alignment horizontal="center" vertical="center"/>
    </xf>
    <xf numFmtId="0" fontId="5" fillId="0" borderId="11" xfId="0" applyFont="1" applyFill="1" applyBorder="1" applyAlignment="1">
      <alignment horizontal="center" vertical="center" wrapText="1"/>
    </xf>
    <xf numFmtId="0" fontId="0" fillId="0" borderId="2" xfId="0" applyFont="1" applyFill="1" applyBorder="1"/>
    <xf numFmtId="0" fontId="0" fillId="0" borderId="0" xfId="0" applyFont="1" applyFill="1" applyAlignment="1">
      <alignment wrapText="1"/>
    </xf>
    <xf numFmtId="0" fontId="8" fillId="0" borderId="2" xfId="0" applyFont="1" applyFill="1" applyBorder="1" applyAlignment="1">
      <alignment horizontal="center" vertical="center" wrapText="1"/>
    </xf>
    <xf numFmtId="164" fontId="0" fillId="0" borderId="0" xfId="0" applyNumberFormat="1" applyFont="1" applyFill="1" applyAlignment="1">
      <alignment horizontal="center" vertical="center" wrapText="1"/>
    </xf>
    <xf numFmtId="0" fontId="0" fillId="0" borderId="2" xfId="0" applyFont="1" applyFill="1" applyBorder="1" applyAlignment="1">
      <alignment horizontal="center" vertical="center" wrapText="1"/>
    </xf>
    <xf numFmtId="0" fontId="5" fillId="0" borderId="2" xfId="0" applyFont="1" applyFill="1" applyBorder="1" applyAlignment="1">
      <alignment horizontal="center" vertical="center" textRotation="90"/>
    </xf>
    <xf numFmtId="0" fontId="6" fillId="0" borderId="2" xfId="0" applyFont="1" applyFill="1" applyBorder="1" applyAlignment="1">
      <alignment horizontal="left" vertical="center" textRotation="90" wrapText="1"/>
    </xf>
    <xf numFmtId="14" fontId="3" fillId="0" borderId="2" xfId="0" applyNumberFormat="1" applyFont="1" applyFill="1" applyBorder="1" applyAlignment="1">
      <alignment horizontal="center" vertical="center" wrapText="1"/>
    </xf>
    <xf numFmtId="9" fontId="3" fillId="0" borderId="2" xfId="0" applyNumberFormat="1" applyFont="1" applyFill="1" applyBorder="1" applyAlignment="1">
      <alignment horizontal="center" vertical="center" wrapText="1"/>
    </xf>
    <xf numFmtId="0" fontId="5" fillId="0" borderId="2" xfId="0" quotePrefix="1" applyFont="1" applyFill="1" applyBorder="1" applyAlignment="1">
      <alignment horizontal="center" vertical="center" wrapText="1"/>
    </xf>
    <xf numFmtId="10" fontId="3"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2" fontId="3" fillId="0" borderId="2" xfId="0" applyNumberFormat="1" applyFont="1" applyFill="1" applyBorder="1" applyAlignment="1">
      <alignment horizontal="center" vertical="center"/>
    </xf>
    <xf numFmtId="0" fontId="0" fillId="0" borderId="2" xfId="0" applyFont="1" applyFill="1" applyBorder="1" applyAlignment="1">
      <alignment horizontal="center" wrapText="1"/>
    </xf>
    <xf numFmtId="2" fontId="0" fillId="0" borderId="2" xfId="0" applyNumberFormat="1" applyFont="1" applyFill="1" applyBorder="1" applyAlignment="1">
      <alignment horizontal="center"/>
    </xf>
    <xf numFmtId="0" fontId="1" fillId="0" borderId="0" xfId="0" applyFont="1" applyFill="1" applyAlignment="1">
      <alignment horizontal="center"/>
    </xf>
    <xf numFmtId="0" fontId="2" fillId="0" borderId="0" xfId="0" applyFont="1" applyFill="1" applyBorder="1" applyAlignment="1">
      <alignment horizontal="center" vertical="center" wrapText="1"/>
    </xf>
    <xf numFmtId="0" fontId="13" fillId="0" borderId="10" xfId="0" applyFont="1" applyFill="1" applyBorder="1" applyAlignment="1">
      <alignment horizontal="center"/>
    </xf>
    <xf numFmtId="0" fontId="4" fillId="0" borderId="0" xfId="0" applyFont="1" applyFill="1" applyAlignment="1">
      <alignment horizontal="center" vertical="center" wrapText="1"/>
    </xf>
    <xf numFmtId="0" fontId="3" fillId="0" borderId="0" xfId="0" applyFont="1" applyFill="1" applyAlignment="1">
      <alignment horizontal="left" vertical="center" wrapText="1"/>
    </xf>
    <xf numFmtId="0" fontId="3" fillId="0" borderId="0" xfId="0" applyFont="1" applyFill="1" applyAlignment="1">
      <alignment horizontal="center"/>
    </xf>
    <xf numFmtId="0" fontId="4" fillId="0" borderId="0" xfId="0" applyFont="1" applyAlignment="1">
      <alignment horizontal="center" vertical="center" wrapText="1"/>
    </xf>
    <xf numFmtId="0" fontId="3" fillId="0" borderId="0" xfId="0" applyFont="1" applyAlignment="1">
      <alignment horizontal="left" vertical="center" wrapText="1"/>
    </xf>
    <xf numFmtId="0" fontId="3" fillId="0" borderId="0" xfId="0" applyFont="1" applyAlignment="1">
      <alignment horizontal="center"/>
    </xf>
    <xf numFmtId="0" fontId="2" fillId="0" borderId="1" xfId="0" applyFont="1" applyFill="1" applyBorder="1" applyAlignment="1">
      <alignment horizontal="center" vertical="center" wrapText="1"/>
    </xf>
    <xf numFmtId="0" fontId="1" fillId="0" borderId="0" xfId="0" applyFont="1" applyAlignment="1">
      <alignment horizontal="center" vertical="center"/>
    </xf>
    <xf numFmtId="0" fontId="2" fillId="0" borderId="1" xfId="0" applyFont="1" applyBorder="1" applyAlignment="1">
      <alignment horizontal="center" vertical="center"/>
    </xf>
    <xf numFmtId="0" fontId="1" fillId="0" borderId="0" xfId="0" applyFont="1" applyAlignment="1">
      <alignment horizontal="center"/>
    </xf>
    <xf numFmtId="0" fontId="2" fillId="0" borderId="0" xfId="0" applyFont="1" applyBorder="1" applyAlignment="1">
      <alignment horizontal="center"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276225</xdr:colOff>
      <xdr:row>104</xdr:row>
      <xdr:rowOff>129808</xdr:rowOff>
    </xdr:from>
    <xdr:to>
      <xdr:col>11</xdr:col>
      <xdr:colOff>586410</xdr:colOff>
      <xdr:row>111</xdr:row>
      <xdr:rowOff>81898</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029450" y="32343358"/>
          <a:ext cx="1977060" cy="133321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0</xdr:colOff>
      <xdr:row>118</xdr:row>
      <xdr:rowOff>294409</xdr:rowOff>
    </xdr:from>
    <xdr:to>
      <xdr:col>10</xdr:col>
      <xdr:colOff>158651</xdr:colOff>
      <xdr:row>122</xdr:row>
      <xdr:rowOff>190215</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464136" y="52318227"/>
          <a:ext cx="1977060" cy="133321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276225</xdr:colOff>
      <xdr:row>119</xdr:row>
      <xdr:rowOff>171450</xdr:rowOff>
    </xdr:from>
    <xdr:to>
      <xdr:col>10</xdr:col>
      <xdr:colOff>434010</xdr:colOff>
      <xdr:row>125</xdr:row>
      <xdr:rowOff>9240</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705725" y="54235350"/>
          <a:ext cx="1977060" cy="133321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8</xdr:col>
      <xdr:colOff>121228</xdr:colOff>
      <xdr:row>118</xdr:row>
      <xdr:rowOff>450273</xdr:rowOff>
    </xdr:from>
    <xdr:to>
      <xdr:col>10</xdr:col>
      <xdr:colOff>574288</xdr:colOff>
      <xdr:row>123</xdr:row>
      <xdr:rowOff>155579</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641773" y="36108409"/>
          <a:ext cx="1977060" cy="133321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7</xdr:col>
      <xdr:colOff>142875</xdr:colOff>
      <xdr:row>119</xdr:row>
      <xdr:rowOff>47625</xdr:rowOff>
    </xdr:from>
    <xdr:to>
      <xdr:col>9</xdr:col>
      <xdr:colOff>748335</xdr:colOff>
      <xdr:row>124</xdr:row>
      <xdr:rowOff>75915</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781800" y="42433875"/>
          <a:ext cx="1977060" cy="133321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5</xdr:col>
      <xdr:colOff>1962150</xdr:colOff>
      <xdr:row>21</xdr:row>
      <xdr:rowOff>180975</xdr:rowOff>
    </xdr:from>
    <xdr:to>
      <xdr:col>7</xdr:col>
      <xdr:colOff>386385</xdr:colOff>
      <xdr:row>28</xdr:row>
      <xdr:rowOff>152115</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96150" y="7724775"/>
          <a:ext cx="1977060" cy="133321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6</xdr:col>
      <xdr:colOff>340178</xdr:colOff>
      <xdr:row>40</xdr:row>
      <xdr:rowOff>258536</xdr:rowOff>
    </xdr:from>
    <xdr:to>
      <xdr:col>10</xdr:col>
      <xdr:colOff>58452</xdr:colOff>
      <xdr:row>46</xdr:row>
      <xdr:rowOff>81358</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354535" y="35623500"/>
          <a:ext cx="1977060" cy="133321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05"/>
  <sheetViews>
    <sheetView topLeftCell="A100" workbookViewId="0">
      <selection activeCell="G110" sqref="G110"/>
    </sheetView>
  </sheetViews>
  <sheetFormatPr defaultRowHeight="15" x14ac:dyDescent="0.25"/>
  <cols>
    <col min="1" max="1" width="4.5703125" style="99" customWidth="1"/>
    <col min="2" max="2" width="10.140625" style="99" bestFit="1" customWidth="1"/>
    <col min="3" max="3" width="30.85546875" style="99" customWidth="1"/>
    <col min="4" max="4" width="13" style="99" customWidth="1"/>
    <col min="5" max="5" width="7" style="99" customWidth="1"/>
    <col min="6" max="6" width="12.42578125" style="99" customWidth="1"/>
    <col min="7" max="7" width="9.85546875" style="99" customWidth="1"/>
    <col min="8" max="8" width="13.42578125" style="99" customWidth="1"/>
    <col min="9" max="9" width="4.7109375" style="99" customWidth="1"/>
    <col min="10" max="10" width="12" style="99" customWidth="1"/>
    <col min="11" max="11" width="8.28515625" style="99" customWidth="1"/>
    <col min="12" max="12" width="20.5703125" style="99" customWidth="1"/>
    <col min="13" max="16384" width="9.140625" style="99"/>
  </cols>
  <sheetData>
    <row r="1" spans="1:12" ht="18.75" x14ac:dyDescent="0.3">
      <c r="A1" s="118" t="s">
        <v>0</v>
      </c>
      <c r="B1" s="118"/>
      <c r="C1" s="118"/>
      <c r="D1" s="118"/>
      <c r="E1" s="118"/>
      <c r="F1" s="118"/>
      <c r="G1" s="118"/>
      <c r="H1" s="118"/>
      <c r="I1" s="118"/>
      <c r="J1" s="118"/>
      <c r="K1" s="118"/>
      <c r="L1" s="118"/>
    </row>
    <row r="2" spans="1:12" ht="15" customHeight="1" x14ac:dyDescent="0.25">
      <c r="A2" s="119" t="s">
        <v>243</v>
      </c>
      <c r="B2" s="119"/>
      <c r="C2" s="119"/>
      <c r="D2" s="119"/>
      <c r="E2" s="119"/>
      <c r="F2" s="119"/>
      <c r="G2" s="119"/>
      <c r="H2" s="119"/>
      <c r="I2" s="119"/>
      <c r="J2" s="119"/>
      <c r="K2" s="119"/>
      <c r="L2" s="119"/>
    </row>
    <row r="3" spans="1:12" ht="127.5" customHeight="1" x14ac:dyDescent="0.25">
      <c r="A3" s="108" t="s">
        <v>201</v>
      </c>
      <c r="B3" s="11" t="s">
        <v>107</v>
      </c>
      <c r="C3" s="11" t="s">
        <v>2</v>
      </c>
      <c r="D3" s="11" t="s">
        <v>3</v>
      </c>
      <c r="E3" s="11" t="s">
        <v>4</v>
      </c>
      <c r="F3" s="109" t="s">
        <v>5</v>
      </c>
      <c r="G3" s="109" t="s">
        <v>6</v>
      </c>
      <c r="H3" s="11" t="s">
        <v>7</v>
      </c>
      <c r="I3" s="11" t="s">
        <v>135</v>
      </c>
      <c r="J3" s="11" t="s">
        <v>8</v>
      </c>
      <c r="K3" s="11" t="s">
        <v>54</v>
      </c>
      <c r="L3" s="11" t="s">
        <v>244</v>
      </c>
    </row>
    <row r="4" spans="1:12" ht="31.5" customHeight="1" x14ac:dyDescent="0.25">
      <c r="A4" s="15">
        <v>1</v>
      </c>
      <c r="B4" s="15">
        <v>2</v>
      </c>
      <c r="C4" s="15">
        <v>3</v>
      </c>
      <c r="D4" s="15">
        <v>4</v>
      </c>
      <c r="E4" s="15">
        <v>5</v>
      </c>
      <c r="F4" s="15">
        <v>6</v>
      </c>
      <c r="G4" s="15">
        <v>7</v>
      </c>
      <c r="H4" s="15">
        <v>8</v>
      </c>
      <c r="I4" s="15">
        <v>9</v>
      </c>
      <c r="J4" s="15">
        <v>10</v>
      </c>
      <c r="K4" s="15">
        <v>11</v>
      </c>
      <c r="L4" s="13">
        <v>12</v>
      </c>
    </row>
    <row r="5" spans="1:12" ht="31.5" x14ac:dyDescent="0.25">
      <c r="A5" s="4">
        <v>1</v>
      </c>
      <c r="B5" s="4">
        <v>67275</v>
      </c>
      <c r="C5" s="34" t="s">
        <v>9</v>
      </c>
      <c r="D5" s="4" t="s">
        <v>44</v>
      </c>
      <c r="E5" s="4" t="s">
        <v>39</v>
      </c>
      <c r="F5" s="4">
        <v>96.17</v>
      </c>
      <c r="G5" s="4" t="s">
        <v>34</v>
      </c>
      <c r="H5" s="4">
        <v>1206014093</v>
      </c>
      <c r="I5" s="71">
        <v>524</v>
      </c>
      <c r="J5" s="4" t="s">
        <v>36</v>
      </c>
      <c r="K5" s="4" t="s">
        <v>34</v>
      </c>
      <c r="L5" s="103"/>
    </row>
    <row r="6" spans="1:12" ht="15.75" x14ac:dyDescent="0.25">
      <c r="A6" s="4">
        <v>2</v>
      </c>
      <c r="B6" s="4">
        <v>98099</v>
      </c>
      <c r="C6" s="34" t="s">
        <v>10</v>
      </c>
      <c r="D6" s="110">
        <v>37511</v>
      </c>
      <c r="E6" s="4" t="s">
        <v>33</v>
      </c>
      <c r="F6" s="4">
        <v>91.33</v>
      </c>
      <c r="G6" s="4" t="s">
        <v>34</v>
      </c>
      <c r="H6" s="4">
        <v>1206014067</v>
      </c>
      <c r="I6" s="4">
        <v>486</v>
      </c>
      <c r="J6" s="4" t="s">
        <v>36</v>
      </c>
      <c r="K6" s="4" t="s">
        <v>34</v>
      </c>
      <c r="L6" s="103"/>
    </row>
    <row r="7" spans="1:12" ht="31.5" x14ac:dyDescent="0.25">
      <c r="A7" s="4">
        <v>3</v>
      </c>
      <c r="B7" s="4">
        <v>110286</v>
      </c>
      <c r="C7" s="34" t="s">
        <v>11</v>
      </c>
      <c r="D7" s="4" t="s">
        <v>32</v>
      </c>
      <c r="E7" s="4" t="s">
        <v>33</v>
      </c>
      <c r="F7" s="4">
        <v>90.67</v>
      </c>
      <c r="G7" s="4" t="s">
        <v>34</v>
      </c>
      <c r="H7" s="4">
        <v>1206012364</v>
      </c>
      <c r="I7" s="4">
        <v>473</v>
      </c>
      <c r="J7" s="4" t="s">
        <v>35</v>
      </c>
      <c r="K7" s="4" t="s">
        <v>34</v>
      </c>
      <c r="L7" s="103"/>
    </row>
    <row r="8" spans="1:12" ht="15.75" x14ac:dyDescent="0.25">
      <c r="A8" s="4">
        <v>4</v>
      </c>
      <c r="B8" s="4">
        <v>110387</v>
      </c>
      <c r="C8" s="34" t="s">
        <v>12</v>
      </c>
      <c r="D8" s="4" t="s">
        <v>38</v>
      </c>
      <c r="E8" s="4" t="s">
        <v>39</v>
      </c>
      <c r="F8" s="4">
        <v>92.5</v>
      </c>
      <c r="G8" s="4" t="s">
        <v>34</v>
      </c>
      <c r="H8" s="4">
        <v>1206023110</v>
      </c>
      <c r="I8" s="4">
        <v>472</v>
      </c>
      <c r="J8" s="4" t="s">
        <v>36</v>
      </c>
      <c r="K8" s="4" t="s">
        <v>34</v>
      </c>
      <c r="L8" s="103"/>
    </row>
    <row r="9" spans="1:12" ht="31.5" x14ac:dyDescent="0.25">
      <c r="A9" s="4">
        <v>5</v>
      </c>
      <c r="B9" s="4">
        <v>111517</v>
      </c>
      <c r="C9" s="34" t="s">
        <v>13</v>
      </c>
      <c r="D9" s="4" t="s">
        <v>40</v>
      </c>
      <c r="E9" s="4" t="s">
        <v>41</v>
      </c>
      <c r="F9" s="4">
        <v>93</v>
      </c>
      <c r="G9" s="4" t="s">
        <v>34</v>
      </c>
      <c r="H9" s="4">
        <v>1206004066</v>
      </c>
      <c r="I9" s="4">
        <v>471</v>
      </c>
      <c r="J9" s="4" t="s">
        <v>36</v>
      </c>
      <c r="K9" s="4" t="s">
        <v>34</v>
      </c>
      <c r="L9" s="103"/>
    </row>
    <row r="10" spans="1:12" ht="15.75" x14ac:dyDescent="0.25">
      <c r="A10" s="4">
        <v>6</v>
      </c>
      <c r="B10" s="4">
        <v>118423</v>
      </c>
      <c r="C10" s="34" t="s">
        <v>180</v>
      </c>
      <c r="D10" s="4" t="s">
        <v>52</v>
      </c>
      <c r="E10" s="4" t="s">
        <v>33</v>
      </c>
      <c r="F10" s="4">
        <v>99.16</v>
      </c>
      <c r="G10" s="4" t="s">
        <v>34</v>
      </c>
      <c r="H10" s="4">
        <v>1206018069</v>
      </c>
      <c r="I10" s="4">
        <v>464</v>
      </c>
      <c r="J10" s="4" t="s">
        <v>53</v>
      </c>
      <c r="K10" s="4" t="s">
        <v>34</v>
      </c>
      <c r="L10" s="103"/>
    </row>
    <row r="11" spans="1:12" ht="31.5" x14ac:dyDescent="0.25">
      <c r="A11" s="4">
        <v>7</v>
      </c>
      <c r="B11" s="4">
        <v>120039</v>
      </c>
      <c r="C11" s="34" t="s">
        <v>249</v>
      </c>
      <c r="D11" s="4" t="s">
        <v>106</v>
      </c>
      <c r="E11" s="4" t="s">
        <v>33</v>
      </c>
      <c r="F11" s="4"/>
      <c r="G11" s="4" t="s">
        <v>34</v>
      </c>
      <c r="H11" s="4">
        <v>1205037156</v>
      </c>
      <c r="I11" s="4"/>
      <c r="J11" s="4" t="s">
        <v>68</v>
      </c>
      <c r="K11" s="4" t="s">
        <v>34</v>
      </c>
      <c r="L11" s="103"/>
    </row>
    <row r="12" spans="1:12" ht="31.5" x14ac:dyDescent="0.25">
      <c r="A12" s="4">
        <v>8</v>
      </c>
      <c r="B12" s="4">
        <v>121382</v>
      </c>
      <c r="C12" s="34" t="s">
        <v>14</v>
      </c>
      <c r="D12" s="4" t="s">
        <v>77</v>
      </c>
      <c r="E12" s="4" t="s">
        <v>33</v>
      </c>
      <c r="F12" s="4">
        <v>97.83</v>
      </c>
      <c r="G12" s="4" t="s">
        <v>34</v>
      </c>
      <c r="H12" s="4">
        <v>1205019280</v>
      </c>
      <c r="I12" s="4">
        <v>461</v>
      </c>
      <c r="J12" s="4" t="s">
        <v>51</v>
      </c>
      <c r="K12" s="4" t="s">
        <v>34</v>
      </c>
      <c r="L12" s="103"/>
    </row>
    <row r="13" spans="1:12" ht="15.75" x14ac:dyDescent="0.25">
      <c r="A13" s="4">
        <v>9</v>
      </c>
      <c r="B13" s="4">
        <v>128170</v>
      </c>
      <c r="C13" s="34" t="s">
        <v>15</v>
      </c>
      <c r="D13" s="4" t="s">
        <v>42</v>
      </c>
      <c r="E13" s="4" t="s">
        <v>41</v>
      </c>
      <c r="F13" s="4">
        <v>95.5</v>
      </c>
      <c r="G13" s="4" t="s">
        <v>34</v>
      </c>
      <c r="H13" s="4">
        <v>1206003345</v>
      </c>
      <c r="I13" s="4">
        <v>454</v>
      </c>
      <c r="J13" s="110">
        <v>44190</v>
      </c>
      <c r="K13" s="4" t="s">
        <v>34</v>
      </c>
      <c r="L13" s="103"/>
    </row>
    <row r="14" spans="1:12" ht="31.5" x14ac:dyDescent="0.25">
      <c r="A14" s="4">
        <v>10</v>
      </c>
      <c r="B14" s="4">
        <v>138861</v>
      </c>
      <c r="C14" s="34" t="s">
        <v>16</v>
      </c>
      <c r="D14" s="4" t="s">
        <v>76</v>
      </c>
      <c r="E14" s="4" t="s">
        <v>43</v>
      </c>
      <c r="F14" s="4">
        <v>95</v>
      </c>
      <c r="G14" s="4" t="s">
        <v>34</v>
      </c>
      <c r="H14" s="4">
        <v>1206011112</v>
      </c>
      <c r="I14" s="4">
        <v>443</v>
      </c>
      <c r="J14" s="110">
        <v>44190</v>
      </c>
      <c r="K14" s="4" t="s">
        <v>34</v>
      </c>
      <c r="L14" s="103"/>
    </row>
    <row r="15" spans="1:12" ht="31.5" x14ac:dyDescent="0.25">
      <c r="A15" s="4">
        <v>11</v>
      </c>
      <c r="B15" s="4">
        <v>149121</v>
      </c>
      <c r="C15" s="34" t="s">
        <v>186</v>
      </c>
      <c r="D15" s="4" t="s">
        <v>58</v>
      </c>
      <c r="E15" s="4" t="s">
        <v>33</v>
      </c>
      <c r="F15" s="111">
        <v>0.91</v>
      </c>
      <c r="G15" s="4" t="s">
        <v>34</v>
      </c>
      <c r="H15" s="4">
        <v>1206003355</v>
      </c>
      <c r="I15" s="4">
        <v>433</v>
      </c>
      <c r="J15" s="4" t="s">
        <v>51</v>
      </c>
      <c r="K15" s="4" t="s">
        <v>34</v>
      </c>
      <c r="L15" s="103"/>
    </row>
    <row r="16" spans="1:12" ht="31.5" x14ac:dyDescent="0.25">
      <c r="A16" s="4">
        <v>12</v>
      </c>
      <c r="B16" s="112">
        <v>158087</v>
      </c>
      <c r="C16" s="34" t="s">
        <v>92</v>
      </c>
      <c r="D16" s="4" t="s">
        <v>93</v>
      </c>
      <c r="E16" s="4" t="s">
        <v>33</v>
      </c>
      <c r="F16" s="113">
        <v>0.97499999999999998</v>
      </c>
      <c r="G16" s="4" t="s">
        <v>34</v>
      </c>
      <c r="H16" s="4">
        <v>1205028299</v>
      </c>
      <c r="I16" s="4">
        <v>424</v>
      </c>
      <c r="J16" s="4" t="s">
        <v>51</v>
      </c>
      <c r="K16" s="4" t="s">
        <v>34</v>
      </c>
      <c r="L16" s="103"/>
    </row>
    <row r="17" spans="1:12" ht="31.5" x14ac:dyDescent="0.25">
      <c r="A17" s="4">
        <v>13</v>
      </c>
      <c r="B17" s="4">
        <v>158138</v>
      </c>
      <c r="C17" s="34" t="s">
        <v>17</v>
      </c>
      <c r="D17" s="4" t="s">
        <v>75</v>
      </c>
      <c r="E17" s="4" t="s">
        <v>33</v>
      </c>
      <c r="F17" s="4">
        <v>84.17</v>
      </c>
      <c r="G17" s="4" t="s">
        <v>34</v>
      </c>
      <c r="H17" s="4">
        <v>1205002577</v>
      </c>
      <c r="I17" s="4">
        <v>424</v>
      </c>
      <c r="J17" s="4" t="s">
        <v>53</v>
      </c>
      <c r="K17" s="4" t="s">
        <v>34</v>
      </c>
      <c r="L17" s="103"/>
    </row>
    <row r="18" spans="1:12" ht="31.5" x14ac:dyDescent="0.25">
      <c r="A18" s="4">
        <v>14</v>
      </c>
      <c r="B18" s="4">
        <v>163458</v>
      </c>
      <c r="C18" s="34" t="s">
        <v>18</v>
      </c>
      <c r="D18" s="4" t="s">
        <v>98</v>
      </c>
      <c r="E18" s="4" t="s">
        <v>39</v>
      </c>
      <c r="F18" s="4">
        <v>95.67</v>
      </c>
      <c r="G18" s="4" t="s">
        <v>34</v>
      </c>
      <c r="H18" s="4">
        <v>1206003486</v>
      </c>
      <c r="I18" s="4">
        <v>419</v>
      </c>
      <c r="J18" s="4" t="s">
        <v>51</v>
      </c>
      <c r="K18" s="4" t="s">
        <v>34</v>
      </c>
      <c r="L18" s="103"/>
    </row>
    <row r="19" spans="1:12" ht="31.5" x14ac:dyDescent="0.25">
      <c r="A19" s="4">
        <v>15</v>
      </c>
      <c r="B19" s="4">
        <v>168974</v>
      </c>
      <c r="C19" s="34" t="s">
        <v>19</v>
      </c>
      <c r="D19" s="4" t="s">
        <v>55</v>
      </c>
      <c r="E19" s="4" t="s">
        <v>41</v>
      </c>
      <c r="F19" s="113">
        <v>0.87829999999999997</v>
      </c>
      <c r="G19" s="4" t="s">
        <v>34</v>
      </c>
      <c r="H19" s="4">
        <v>1203004173</v>
      </c>
      <c r="I19" s="4">
        <v>415</v>
      </c>
      <c r="J19" s="4" t="s">
        <v>51</v>
      </c>
      <c r="K19" s="4" t="s">
        <v>34</v>
      </c>
      <c r="L19" s="103"/>
    </row>
    <row r="20" spans="1:12" ht="15.75" x14ac:dyDescent="0.25">
      <c r="A20" s="4">
        <v>16</v>
      </c>
      <c r="B20" s="4">
        <v>178168</v>
      </c>
      <c r="C20" s="34" t="s">
        <v>20</v>
      </c>
      <c r="D20" s="110">
        <v>37116</v>
      </c>
      <c r="E20" s="4" t="s">
        <v>37</v>
      </c>
      <c r="F20" s="4">
        <v>96.17</v>
      </c>
      <c r="G20" s="4" t="s">
        <v>34</v>
      </c>
      <c r="H20" s="4">
        <v>1205005391</v>
      </c>
      <c r="I20" s="4">
        <v>406</v>
      </c>
      <c r="J20" s="110">
        <v>44555</v>
      </c>
      <c r="K20" s="4" t="s">
        <v>34</v>
      </c>
      <c r="L20" s="103"/>
    </row>
    <row r="21" spans="1:12" ht="15.75" x14ac:dyDescent="0.25">
      <c r="A21" s="4">
        <v>17</v>
      </c>
      <c r="B21" s="112">
        <v>182793</v>
      </c>
      <c r="C21" s="89" t="s">
        <v>168</v>
      </c>
      <c r="D21" s="4" t="s">
        <v>103</v>
      </c>
      <c r="E21" s="4" t="s">
        <v>43</v>
      </c>
      <c r="F21" s="113">
        <v>0.95330000000000004</v>
      </c>
      <c r="G21" s="4" t="s">
        <v>34</v>
      </c>
      <c r="H21" s="4">
        <v>1204001029</v>
      </c>
      <c r="I21" s="4">
        <v>402</v>
      </c>
      <c r="J21" s="4" t="s">
        <v>166</v>
      </c>
      <c r="K21" s="4" t="s">
        <v>34</v>
      </c>
      <c r="L21" s="103"/>
    </row>
    <row r="22" spans="1:12" ht="31.5" x14ac:dyDescent="0.25">
      <c r="A22" s="4">
        <v>18</v>
      </c>
      <c r="B22" s="4">
        <v>186416</v>
      </c>
      <c r="C22" s="34" t="s">
        <v>29</v>
      </c>
      <c r="D22" s="4" t="s">
        <v>56</v>
      </c>
      <c r="E22" s="4" t="s">
        <v>41</v>
      </c>
      <c r="F22" s="113">
        <v>0.9516</v>
      </c>
      <c r="G22" s="4" t="s">
        <v>34</v>
      </c>
      <c r="H22" s="4">
        <v>1206011318</v>
      </c>
      <c r="I22" s="4">
        <v>399</v>
      </c>
      <c r="J22" s="4" t="s">
        <v>57</v>
      </c>
      <c r="K22" s="4" t="s">
        <v>34</v>
      </c>
      <c r="L22" s="103"/>
    </row>
    <row r="23" spans="1:12" ht="15.75" x14ac:dyDescent="0.25">
      <c r="A23" s="4">
        <v>19</v>
      </c>
      <c r="B23" s="4">
        <v>187607</v>
      </c>
      <c r="C23" s="34" t="s">
        <v>21</v>
      </c>
      <c r="D23" s="4" t="s">
        <v>101</v>
      </c>
      <c r="E23" s="4" t="s">
        <v>43</v>
      </c>
      <c r="F23" s="4">
        <v>91.83</v>
      </c>
      <c r="G23" s="4" t="s">
        <v>34</v>
      </c>
      <c r="H23" s="4">
        <v>4201102338</v>
      </c>
      <c r="I23" s="4">
        <v>398</v>
      </c>
      <c r="J23" s="4" t="s">
        <v>51</v>
      </c>
      <c r="K23" s="4" t="s">
        <v>34</v>
      </c>
      <c r="L23" s="103"/>
    </row>
    <row r="24" spans="1:12" ht="15.75" x14ac:dyDescent="0.25">
      <c r="A24" s="4">
        <v>20</v>
      </c>
      <c r="B24" s="112">
        <v>189966</v>
      </c>
      <c r="C24" s="34" t="s">
        <v>83</v>
      </c>
      <c r="D24" s="4" t="s">
        <v>86</v>
      </c>
      <c r="E24" s="4" t="s">
        <v>33</v>
      </c>
      <c r="F24" s="113">
        <v>0.76500000000000001</v>
      </c>
      <c r="G24" s="4" t="s">
        <v>34</v>
      </c>
      <c r="H24" s="4">
        <v>1205034116</v>
      </c>
      <c r="I24" s="4">
        <v>396</v>
      </c>
      <c r="J24" s="4" t="s">
        <v>80</v>
      </c>
      <c r="K24" s="4" t="s">
        <v>34</v>
      </c>
      <c r="L24" s="103"/>
    </row>
    <row r="25" spans="1:12" ht="31.5" x14ac:dyDescent="0.25">
      <c r="A25" s="4">
        <v>21</v>
      </c>
      <c r="B25" s="4">
        <v>191307</v>
      </c>
      <c r="C25" s="34" t="s">
        <v>22</v>
      </c>
      <c r="D25" s="4" t="s">
        <v>99</v>
      </c>
      <c r="E25" s="4" t="s">
        <v>39</v>
      </c>
      <c r="F25" s="4">
        <v>97.7</v>
      </c>
      <c r="G25" s="4" t="s">
        <v>34</v>
      </c>
      <c r="H25" s="4">
        <v>1206001341</v>
      </c>
      <c r="I25" s="4">
        <v>395</v>
      </c>
      <c r="J25" s="4" t="s">
        <v>51</v>
      </c>
      <c r="K25" s="4" t="s">
        <v>34</v>
      </c>
      <c r="L25" s="103"/>
    </row>
    <row r="26" spans="1:12" ht="15.75" x14ac:dyDescent="0.25">
      <c r="A26" s="4">
        <v>22</v>
      </c>
      <c r="B26" s="4">
        <v>210427</v>
      </c>
      <c r="C26" s="34" t="s">
        <v>23</v>
      </c>
      <c r="D26" s="4" t="s">
        <v>67</v>
      </c>
      <c r="E26" s="4" t="s">
        <v>37</v>
      </c>
      <c r="F26" s="113">
        <v>0.88500000000000001</v>
      </c>
      <c r="G26" s="4" t="s">
        <v>34</v>
      </c>
      <c r="H26" s="4">
        <v>1206011191</v>
      </c>
      <c r="I26" s="4">
        <v>379</v>
      </c>
      <c r="J26" s="4" t="s">
        <v>68</v>
      </c>
      <c r="K26" s="4" t="s">
        <v>34</v>
      </c>
      <c r="L26" s="103"/>
    </row>
    <row r="27" spans="1:12" ht="31.5" x14ac:dyDescent="0.25">
      <c r="A27" s="4">
        <v>23</v>
      </c>
      <c r="B27" s="4">
        <v>212620</v>
      </c>
      <c r="C27" s="34" t="s">
        <v>24</v>
      </c>
      <c r="D27" s="4" t="s">
        <v>91</v>
      </c>
      <c r="E27" s="4" t="s">
        <v>37</v>
      </c>
      <c r="F27" s="4">
        <v>92.67</v>
      </c>
      <c r="G27" s="4" t="s">
        <v>34</v>
      </c>
      <c r="H27" s="4">
        <v>1206002304</v>
      </c>
      <c r="I27" s="4">
        <v>377</v>
      </c>
      <c r="J27" s="4" t="s">
        <v>51</v>
      </c>
      <c r="K27" s="4" t="s">
        <v>34</v>
      </c>
      <c r="L27" s="103"/>
    </row>
    <row r="28" spans="1:12" ht="31.5" x14ac:dyDescent="0.25">
      <c r="A28" s="4">
        <v>24</v>
      </c>
      <c r="B28" s="4">
        <v>214969</v>
      </c>
      <c r="C28" s="34" t="s">
        <v>28</v>
      </c>
      <c r="D28" s="4" t="s">
        <v>87</v>
      </c>
      <c r="E28" s="4" t="s">
        <v>39</v>
      </c>
      <c r="F28" s="4">
        <v>96.5</v>
      </c>
      <c r="G28" s="4" t="s">
        <v>34</v>
      </c>
      <c r="H28" s="4">
        <v>1206013163</v>
      </c>
      <c r="I28" s="4">
        <v>375</v>
      </c>
      <c r="J28" s="4" t="s">
        <v>51</v>
      </c>
      <c r="K28" s="4" t="s">
        <v>34</v>
      </c>
      <c r="L28" s="103"/>
    </row>
    <row r="29" spans="1:12" ht="15.75" x14ac:dyDescent="0.25">
      <c r="A29" s="4">
        <v>25</v>
      </c>
      <c r="B29" s="112">
        <v>220134</v>
      </c>
      <c r="C29" s="34" t="s">
        <v>81</v>
      </c>
      <c r="D29" s="4" t="s">
        <v>82</v>
      </c>
      <c r="E29" s="4" t="s">
        <v>39</v>
      </c>
      <c r="F29" s="4">
        <v>91.83</v>
      </c>
      <c r="G29" s="4" t="s">
        <v>34</v>
      </c>
      <c r="H29" s="4">
        <v>1206023259</v>
      </c>
      <c r="I29" s="4">
        <v>371</v>
      </c>
      <c r="J29" s="4" t="s">
        <v>80</v>
      </c>
      <c r="K29" s="4" t="s">
        <v>34</v>
      </c>
      <c r="L29" s="103"/>
    </row>
    <row r="30" spans="1:12" ht="15.75" x14ac:dyDescent="0.25">
      <c r="A30" s="4">
        <v>26</v>
      </c>
      <c r="B30" s="112">
        <v>230290</v>
      </c>
      <c r="C30" s="34" t="s">
        <v>203</v>
      </c>
      <c r="D30" s="4" t="s">
        <v>88</v>
      </c>
      <c r="E30" s="4" t="s">
        <v>41</v>
      </c>
      <c r="F30" s="113">
        <v>0.87670000000000003</v>
      </c>
      <c r="G30" s="4" t="s">
        <v>34</v>
      </c>
      <c r="H30" s="4">
        <v>1206027092</v>
      </c>
      <c r="I30" s="4">
        <v>364</v>
      </c>
      <c r="J30" s="4" t="s">
        <v>80</v>
      </c>
      <c r="K30" s="4" t="s">
        <v>34</v>
      </c>
      <c r="L30" s="103"/>
    </row>
    <row r="31" spans="1:12" ht="31.5" x14ac:dyDescent="0.25">
      <c r="A31" s="4">
        <v>27</v>
      </c>
      <c r="B31" s="4">
        <v>230620</v>
      </c>
      <c r="C31" s="34" t="s">
        <v>25</v>
      </c>
      <c r="D31" s="4" t="s">
        <v>94</v>
      </c>
      <c r="E31" s="4" t="s">
        <v>37</v>
      </c>
      <c r="F31" s="4">
        <v>95.83</v>
      </c>
      <c r="G31" s="4" t="s">
        <v>34</v>
      </c>
      <c r="H31" s="4">
        <v>1205026008</v>
      </c>
      <c r="I31" s="4">
        <v>363</v>
      </c>
      <c r="J31" s="4" t="s">
        <v>51</v>
      </c>
      <c r="K31" s="4" t="s">
        <v>34</v>
      </c>
      <c r="L31" s="114" t="s">
        <v>245</v>
      </c>
    </row>
    <row r="32" spans="1:12" ht="15.75" x14ac:dyDescent="0.25">
      <c r="A32" s="4">
        <v>28</v>
      </c>
      <c r="B32" s="112">
        <v>232263</v>
      </c>
      <c r="C32" s="34" t="s">
        <v>84</v>
      </c>
      <c r="D32" s="4" t="s">
        <v>85</v>
      </c>
      <c r="E32" s="4" t="s">
        <v>41</v>
      </c>
      <c r="F32" s="113">
        <v>0.96160000000000001</v>
      </c>
      <c r="G32" s="4" t="s">
        <v>34</v>
      </c>
      <c r="H32" s="4">
        <v>1205004057</v>
      </c>
      <c r="I32" s="4">
        <v>362</v>
      </c>
      <c r="J32" s="4" t="s">
        <v>80</v>
      </c>
      <c r="K32" s="4" t="s">
        <v>34</v>
      </c>
      <c r="L32" s="103"/>
    </row>
    <row r="33" spans="1:12" ht="31.5" x14ac:dyDescent="0.25">
      <c r="A33" s="4">
        <v>29</v>
      </c>
      <c r="B33" s="4">
        <v>237380</v>
      </c>
      <c r="C33" s="34" t="s">
        <v>26</v>
      </c>
      <c r="D33" s="4" t="s">
        <v>100</v>
      </c>
      <c r="E33" s="4" t="s">
        <v>37</v>
      </c>
      <c r="F33" s="4">
        <v>95.5</v>
      </c>
      <c r="G33" s="4" t="s">
        <v>34</v>
      </c>
      <c r="H33" s="4">
        <v>1205001374</v>
      </c>
      <c r="I33" s="4">
        <v>358</v>
      </c>
      <c r="J33" s="4" t="s">
        <v>51</v>
      </c>
      <c r="K33" s="4" t="s">
        <v>34</v>
      </c>
      <c r="L33" s="103"/>
    </row>
    <row r="34" spans="1:12" ht="31.5" x14ac:dyDescent="0.25">
      <c r="A34" s="4">
        <v>30</v>
      </c>
      <c r="B34" s="4">
        <v>244098</v>
      </c>
      <c r="C34" s="34" t="s">
        <v>27</v>
      </c>
      <c r="D34" s="4" t="s">
        <v>49</v>
      </c>
      <c r="E34" s="4" t="s">
        <v>50</v>
      </c>
      <c r="F34" s="111">
        <v>0.88</v>
      </c>
      <c r="G34" s="4" t="s">
        <v>34</v>
      </c>
      <c r="H34" s="4">
        <v>1206015262</v>
      </c>
      <c r="I34" s="4">
        <v>353</v>
      </c>
      <c r="J34" s="4" t="s">
        <v>51</v>
      </c>
      <c r="K34" s="4" t="s">
        <v>34</v>
      </c>
      <c r="L34" s="103"/>
    </row>
    <row r="35" spans="1:12" ht="15.75" x14ac:dyDescent="0.25">
      <c r="A35" s="4">
        <v>31</v>
      </c>
      <c r="B35" s="4">
        <v>245181</v>
      </c>
      <c r="C35" s="34" t="s">
        <v>30</v>
      </c>
      <c r="D35" s="4" t="s">
        <v>102</v>
      </c>
      <c r="E35" s="4" t="s">
        <v>39</v>
      </c>
      <c r="F35" s="4">
        <v>95</v>
      </c>
      <c r="G35" s="4" t="s">
        <v>34</v>
      </c>
      <c r="H35" s="4">
        <v>1206025065</v>
      </c>
      <c r="I35" s="4">
        <v>352</v>
      </c>
      <c r="J35" s="4" t="s">
        <v>72</v>
      </c>
      <c r="K35" s="4" t="s">
        <v>34</v>
      </c>
      <c r="L35" s="103"/>
    </row>
    <row r="36" spans="1:12" ht="15.75" x14ac:dyDescent="0.25">
      <c r="A36" s="4">
        <v>32</v>
      </c>
      <c r="B36" s="4">
        <v>250290</v>
      </c>
      <c r="C36" s="34" t="s">
        <v>181</v>
      </c>
      <c r="D36" s="4" t="s">
        <v>73</v>
      </c>
      <c r="E36" s="4" t="s">
        <v>64</v>
      </c>
      <c r="F36" s="113">
        <v>0.96499999999999997</v>
      </c>
      <c r="G36" s="4" t="s">
        <v>34</v>
      </c>
      <c r="H36" s="4">
        <v>1206017168</v>
      </c>
      <c r="I36" s="4">
        <v>348</v>
      </c>
      <c r="J36" s="4" t="s">
        <v>72</v>
      </c>
      <c r="K36" s="4" t="s">
        <v>34</v>
      </c>
      <c r="L36" s="103"/>
    </row>
    <row r="37" spans="1:12" ht="31.5" x14ac:dyDescent="0.25">
      <c r="A37" s="4">
        <v>33</v>
      </c>
      <c r="B37" s="112">
        <v>250606</v>
      </c>
      <c r="C37" s="34" t="s">
        <v>59</v>
      </c>
      <c r="D37" s="4" t="s">
        <v>60</v>
      </c>
      <c r="E37" s="4" t="s">
        <v>61</v>
      </c>
      <c r="F37" s="113">
        <v>0.92830000000000001</v>
      </c>
      <c r="G37" s="4" t="s">
        <v>34</v>
      </c>
      <c r="H37" s="4">
        <v>1201010148</v>
      </c>
      <c r="I37" s="4">
        <v>348</v>
      </c>
      <c r="J37" s="4" t="s">
        <v>80</v>
      </c>
      <c r="K37" s="4" t="s">
        <v>34</v>
      </c>
      <c r="L37" s="103"/>
    </row>
    <row r="38" spans="1:12" ht="30" x14ac:dyDescent="0.25">
      <c r="A38" s="4">
        <v>34</v>
      </c>
      <c r="B38" s="112">
        <v>251656</v>
      </c>
      <c r="C38" s="89" t="s">
        <v>164</v>
      </c>
      <c r="D38" s="4" t="s">
        <v>165</v>
      </c>
      <c r="E38" s="4" t="s">
        <v>33</v>
      </c>
      <c r="F38" s="113">
        <v>0.96330000000000005</v>
      </c>
      <c r="G38" s="4" t="s">
        <v>34</v>
      </c>
      <c r="H38" s="4">
        <v>1206016170</v>
      </c>
      <c r="I38" s="4">
        <v>347</v>
      </c>
      <c r="J38" s="4" t="s">
        <v>166</v>
      </c>
      <c r="K38" s="4" t="s">
        <v>34</v>
      </c>
      <c r="L38" s="103"/>
    </row>
    <row r="39" spans="1:12" ht="15.75" x14ac:dyDescent="0.25">
      <c r="A39" s="4">
        <v>35</v>
      </c>
      <c r="B39" s="112">
        <v>252421</v>
      </c>
      <c r="C39" s="34" t="s">
        <v>104</v>
      </c>
      <c r="D39" s="4" t="s">
        <v>105</v>
      </c>
      <c r="E39" s="4" t="s">
        <v>37</v>
      </c>
      <c r="F39" s="113">
        <v>0.92330000000000001</v>
      </c>
      <c r="G39" s="4" t="s">
        <v>34</v>
      </c>
      <c r="H39" s="4">
        <v>1206021141</v>
      </c>
      <c r="I39" s="4">
        <v>347</v>
      </c>
      <c r="J39" s="4" t="s">
        <v>80</v>
      </c>
      <c r="K39" s="4" t="s">
        <v>34</v>
      </c>
      <c r="L39" s="103"/>
    </row>
    <row r="40" spans="1:12" ht="30" x14ac:dyDescent="0.25">
      <c r="A40" s="4">
        <v>36</v>
      </c>
      <c r="B40" s="112">
        <v>253496</v>
      </c>
      <c r="C40" s="89" t="s">
        <v>169</v>
      </c>
      <c r="D40" s="4" t="s">
        <v>170</v>
      </c>
      <c r="E40" s="4" t="s">
        <v>33</v>
      </c>
      <c r="F40" s="4">
        <v>94.83</v>
      </c>
      <c r="G40" s="4" t="s">
        <v>34</v>
      </c>
      <c r="H40" s="4">
        <v>4201235171</v>
      </c>
      <c r="I40" s="4">
        <v>346</v>
      </c>
      <c r="J40" s="4" t="s">
        <v>166</v>
      </c>
      <c r="K40" s="4" t="s">
        <v>34</v>
      </c>
      <c r="L40" s="103"/>
    </row>
    <row r="41" spans="1:12" ht="15.75" x14ac:dyDescent="0.25">
      <c r="A41" s="4">
        <v>37</v>
      </c>
      <c r="B41" s="112">
        <v>256619</v>
      </c>
      <c r="C41" s="34" t="s">
        <v>62</v>
      </c>
      <c r="D41" s="4" t="s">
        <v>63</v>
      </c>
      <c r="E41" s="4" t="s">
        <v>64</v>
      </c>
      <c r="F41" s="113">
        <v>0.93830000000000002</v>
      </c>
      <c r="G41" s="4" t="s">
        <v>34</v>
      </c>
      <c r="H41" s="4">
        <v>1205020342</v>
      </c>
      <c r="I41" s="4">
        <v>344</v>
      </c>
      <c r="J41" s="4" t="s">
        <v>80</v>
      </c>
      <c r="K41" s="4" t="s">
        <v>34</v>
      </c>
      <c r="L41" s="103"/>
    </row>
    <row r="42" spans="1:12" ht="31.5" x14ac:dyDescent="0.25">
      <c r="A42" s="4">
        <v>38</v>
      </c>
      <c r="B42" s="4">
        <v>274192</v>
      </c>
      <c r="C42" s="34" t="s">
        <v>31</v>
      </c>
      <c r="D42" s="4" t="s">
        <v>71</v>
      </c>
      <c r="E42" s="4" t="s">
        <v>43</v>
      </c>
      <c r="F42" s="113">
        <v>0.94330000000000003</v>
      </c>
      <c r="G42" s="4" t="s">
        <v>34</v>
      </c>
      <c r="H42" s="4">
        <v>1206014098</v>
      </c>
      <c r="I42" s="4">
        <v>331</v>
      </c>
      <c r="J42" s="4" t="s">
        <v>72</v>
      </c>
      <c r="K42" s="4" t="s">
        <v>34</v>
      </c>
      <c r="L42" s="103"/>
    </row>
    <row r="43" spans="1:12" ht="15.75" x14ac:dyDescent="0.25">
      <c r="A43" s="4">
        <v>39</v>
      </c>
      <c r="B43" s="4">
        <v>274597</v>
      </c>
      <c r="C43" s="34" t="s">
        <v>175</v>
      </c>
      <c r="D43" s="4" t="s">
        <v>74</v>
      </c>
      <c r="E43" s="4" t="s">
        <v>43</v>
      </c>
      <c r="F43" s="4">
        <v>81.832999999999998</v>
      </c>
      <c r="G43" s="4" t="s">
        <v>34</v>
      </c>
      <c r="H43" s="4">
        <v>1206004186</v>
      </c>
      <c r="I43" s="4">
        <v>331</v>
      </c>
      <c r="J43" s="4" t="s">
        <v>72</v>
      </c>
      <c r="K43" s="4" t="s">
        <v>34</v>
      </c>
      <c r="L43" s="103"/>
    </row>
    <row r="44" spans="1:12" ht="31.5" x14ac:dyDescent="0.25">
      <c r="A44" s="4">
        <v>40</v>
      </c>
      <c r="B44" s="112">
        <v>275992</v>
      </c>
      <c r="C44" s="34" t="s">
        <v>65</v>
      </c>
      <c r="D44" s="4" t="s">
        <v>66</v>
      </c>
      <c r="E44" s="4" t="s">
        <v>43</v>
      </c>
      <c r="F44" s="113">
        <v>0.94830000000000003</v>
      </c>
      <c r="G44" s="4" t="s">
        <v>34</v>
      </c>
      <c r="H44" s="4">
        <v>1204003503</v>
      </c>
      <c r="I44" s="4">
        <v>330</v>
      </c>
      <c r="J44" s="4" t="s">
        <v>80</v>
      </c>
      <c r="K44" s="4" t="s">
        <v>34</v>
      </c>
      <c r="L44" s="103"/>
    </row>
    <row r="45" spans="1:12" ht="15.75" x14ac:dyDescent="0.25">
      <c r="A45" s="4">
        <v>41</v>
      </c>
      <c r="B45" s="112">
        <v>277179</v>
      </c>
      <c r="C45" s="34" t="s">
        <v>89</v>
      </c>
      <c r="D45" s="4" t="s">
        <v>90</v>
      </c>
      <c r="E45" s="4" t="s">
        <v>41</v>
      </c>
      <c r="F45" s="113">
        <v>0.96</v>
      </c>
      <c r="G45" s="4" t="s">
        <v>34</v>
      </c>
      <c r="H45" s="4">
        <v>1206004203</v>
      </c>
      <c r="I45" s="4">
        <v>329</v>
      </c>
      <c r="J45" s="4" t="s">
        <v>80</v>
      </c>
      <c r="K45" s="4" t="s">
        <v>34</v>
      </c>
      <c r="L45" s="103"/>
    </row>
    <row r="46" spans="1:12" ht="15.75" x14ac:dyDescent="0.25">
      <c r="A46" s="4">
        <v>42</v>
      </c>
      <c r="B46" s="112">
        <v>277316</v>
      </c>
      <c r="C46" s="34" t="s">
        <v>95</v>
      </c>
      <c r="D46" s="4" t="s">
        <v>96</v>
      </c>
      <c r="E46" s="4" t="s">
        <v>97</v>
      </c>
      <c r="F46" s="113">
        <v>0.94330000000000003</v>
      </c>
      <c r="G46" s="4" t="s">
        <v>34</v>
      </c>
      <c r="H46" s="4">
        <v>1205027031</v>
      </c>
      <c r="I46" s="4">
        <v>329</v>
      </c>
      <c r="J46" s="4" t="s">
        <v>80</v>
      </c>
      <c r="K46" s="4" t="s">
        <v>34</v>
      </c>
      <c r="L46" s="103"/>
    </row>
    <row r="47" spans="1:12" ht="15.75" x14ac:dyDescent="0.25">
      <c r="A47" s="4">
        <v>43</v>
      </c>
      <c r="B47" s="112">
        <v>301669</v>
      </c>
      <c r="C47" s="34" t="s">
        <v>161</v>
      </c>
      <c r="D47" s="4" t="s">
        <v>162</v>
      </c>
      <c r="E47" s="4" t="s">
        <v>163</v>
      </c>
      <c r="F47" s="113">
        <v>0.83160000000000001</v>
      </c>
      <c r="G47" s="4" t="s">
        <v>34</v>
      </c>
      <c r="H47" s="4">
        <v>1206025091</v>
      </c>
      <c r="I47" s="4">
        <v>313</v>
      </c>
      <c r="J47" s="4" t="s">
        <v>145</v>
      </c>
      <c r="K47" s="4" t="s">
        <v>34</v>
      </c>
      <c r="L47" s="103"/>
    </row>
    <row r="48" spans="1:12" ht="15.75" x14ac:dyDescent="0.25">
      <c r="A48" s="4">
        <v>44</v>
      </c>
      <c r="B48" s="112">
        <v>324509</v>
      </c>
      <c r="C48" s="33" t="s">
        <v>178</v>
      </c>
      <c r="D48" s="4" t="s">
        <v>179</v>
      </c>
      <c r="E48" s="4" t="s">
        <v>50</v>
      </c>
      <c r="F48" s="4">
        <v>94.16</v>
      </c>
      <c r="G48" s="4" t="s">
        <v>34</v>
      </c>
      <c r="H48" s="4">
        <v>1205018025</v>
      </c>
      <c r="I48" s="4">
        <v>299</v>
      </c>
      <c r="J48" s="4" t="s">
        <v>145</v>
      </c>
      <c r="K48" s="4" t="s">
        <v>34</v>
      </c>
      <c r="L48" s="103"/>
    </row>
    <row r="49" spans="1:14" ht="15.75" x14ac:dyDescent="0.25">
      <c r="A49" s="4">
        <v>45</v>
      </c>
      <c r="B49" s="4">
        <v>337778</v>
      </c>
      <c r="C49" s="34" t="s">
        <v>184</v>
      </c>
      <c r="D49" s="4" t="s">
        <v>185</v>
      </c>
      <c r="E49" s="4" t="s">
        <v>39</v>
      </c>
      <c r="F49" s="4">
        <v>96.67</v>
      </c>
      <c r="G49" s="4" t="s">
        <v>34</v>
      </c>
      <c r="H49" s="4">
        <v>1205018247</v>
      </c>
      <c r="I49" s="4">
        <v>291</v>
      </c>
      <c r="J49" s="4" t="s">
        <v>183</v>
      </c>
      <c r="K49" s="4" t="s">
        <v>34</v>
      </c>
      <c r="L49" s="103"/>
    </row>
    <row r="50" spans="1:14" ht="15.75" x14ac:dyDescent="0.25">
      <c r="A50" s="4">
        <v>46</v>
      </c>
      <c r="B50" s="112">
        <v>366235</v>
      </c>
      <c r="C50" s="89" t="s">
        <v>176</v>
      </c>
      <c r="D50" s="4" t="s">
        <v>177</v>
      </c>
      <c r="E50" s="4" t="s">
        <v>41</v>
      </c>
      <c r="F50" s="4">
        <v>84.66</v>
      </c>
      <c r="G50" s="4" t="s">
        <v>34</v>
      </c>
      <c r="H50" s="4">
        <v>1205033144</v>
      </c>
      <c r="I50" s="4">
        <v>275</v>
      </c>
      <c r="J50" s="4" t="s">
        <v>145</v>
      </c>
      <c r="K50" s="4" t="s">
        <v>34</v>
      </c>
      <c r="L50" s="103"/>
      <c r="N50" s="99" t="s">
        <v>167</v>
      </c>
    </row>
    <row r="51" spans="1:14" ht="31.5" x14ac:dyDescent="0.25">
      <c r="A51" s="4">
        <v>47</v>
      </c>
      <c r="B51" s="112">
        <v>449563</v>
      </c>
      <c r="C51" s="34" t="s">
        <v>78</v>
      </c>
      <c r="D51" s="4" t="s">
        <v>79</v>
      </c>
      <c r="E51" s="4" t="s">
        <v>46</v>
      </c>
      <c r="F51" s="113">
        <v>0.83169999999999999</v>
      </c>
      <c r="G51" s="4" t="s">
        <v>34</v>
      </c>
      <c r="H51" s="4">
        <v>1206001200</v>
      </c>
      <c r="I51" s="4">
        <v>233</v>
      </c>
      <c r="J51" s="4" t="s">
        <v>80</v>
      </c>
      <c r="K51" s="4" t="s">
        <v>34</v>
      </c>
      <c r="L51" s="103"/>
    </row>
    <row r="52" spans="1:14" ht="15.75" x14ac:dyDescent="0.25">
      <c r="A52" s="4">
        <v>48</v>
      </c>
      <c r="B52" s="112">
        <v>450494</v>
      </c>
      <c r="C52" s="89" t="s">
        <v>202</v>
      </c>
      <c r="D52" s="4" t="s">
        <v>182</v>
      </c>
      <c r="E52" s="4" t="s">
        <v>43</v>
      </c>
      <c r="F52" s="4">
        <v>90.16</v>
      </c>
      <c r="G52" s="4" t="s">
        <v>34</v>
      </c>
      <c r="H52" s="4">
        <v>1205022142</v>
      </c>
      <c r="I52" s="4">
        <v>232</v>
      </c>
      <c r="J52" s="4" t="s">
        <v>183</v>
      </c>
      <c r="K52" s="4" t="s">
        <v>34</v>
      </c>
      <c r="L52" s="103"/>
    </row>
    <row r="53" spans="1:14" ht="15.75" x14ac:dyDescent="0.25">
      <c r="A53" s="4">
        <v>49</v>
      </c>
      <c r="B53" s="112">
        <v>515945</v>
      </c>
      <c r="C53" s="34" t="s">
        <v>45</v>
      </c>
      <c r="D53" s="4" t="s">
        <v>47</v>
      </c>
      <c r="E53" s="4" t="s">
        <v>46</v>
      </c>
      <c r="F53" s="4">
        <v>69.66</v>
      </c>
      <c r="G53" s="4" t="s">
        <v>34</v>
      </c>
      <c r="H53" s="4">
        <v>1206018182</v>
      </c>
      <c r="I53" s="4">
        <v>204</v>
      </c>
      <c r="J53" s="4" t="s">
        <v>48</v>
      </c>
      <c r="K53" s="4" t="s">
        <v>34</v>
      </c>
      <c r="L53" s="103"/>
    </row>
    <row r="54" spans="1:14" ht="15.75" x14ac:dyDescent="0.25">
      <c r="A54" s="4">
        <v>50</v>
      </c>
      <c r="B54" s="112">
        <v>689449</v>
      </c>
      <c r="C54" s="34" t="s">
        <v>69</v>
      </c>
      <c r="D54" s="4" t="s">
        <v>70</v>
      </c>
      <c r="E54" s="4" t="s">
        <v>41</v>
      </c>
      <c r="F54" s="113">
        <v>0.76659999999999995</v>
      </c>
      <c r="G54" s="4" t="s">
        <v>34</v>
      </c>
      <c r="H54" s="4">
        <v>1203003397</v>
      </c>
      <c r="I54" s="4">
        <v>145</v>
      </c>
      <c r="J54" s="4" t="s">
        <v>80</v>
      </c>
      <c r="K54" s="4" t="s">
        <v>34</v>
      </c>
      <c r="L54" s="103"/>
    </row>
    <row r="55" spans="1:14" ht="31.5" x14ac:dyDescent="0.25">
      <c r="A55" s="4">
        <v>51</v>
      </c>
      <c r="B55" s="4">
        <v>268742</v>
      </c>
      <c r="C55" s="34" t="s">
        <v>113</v>
      </c>
      <c r="D55" s="4" t="s">
        <v>154</v>
      </c>
      <c r="E55" s="4" t="s">
        <v>33</v>
      </c>
      <c r="F55" s="68">
        <f>(47+56+55+52+57+50+49+49+30+30+30+27)/600*100</f>
        <v>88.666666666666671</v>
      </c>
      <c r="G55" s="4" t="s">
        <v>34</v>
      </c>
      <c r="H55" s="4">
        <v>1206016096</v>
      </c>
      <c r="I55" s="4">
        <v>335</v>
      </c>
      <c r="J55" s="4" t="s">
        <v>133</v>
      </c>
      <c r="K55" s="4" t="s">
        <v>34</v>
      </c>
      <c r="L55" s="4"/>
    </row>
    <row r="56" spans="1:14" ht="31.5" x14ac:dyDescent="0.25">
      <c r="A56" s="4">
        <v>52</v>
      </c>
      <c r="B56" s="8">
        <v>275916</v>
      </c>
      <c r="C56" s="34" t="s">
        <v>190</v>
      </c>
      <c r="D56" s="4" t="s">
        <v>208</v>
      </c>
      <c r="E56" s="4" t="s">
        <v>33</v>
      </c>
      <c r="F56" s="68">
        <f>(60+60+59+53+58+57+56+50+28+30+29+29)/600*100</f>
        <v>94.833333333333343</v>
      </c>
      <c r="G56" s="4" t="s">
        <v>34</v>
      </c>
      <c r="H56" s="4">
        <v>1205001652</v>
      </c>
      <c r="I56" s="4">
        <v>330</v>
      </c>
      <c r="J56" s="4" t="s">
        <v>196</v>
      </c>
      <c r="K56" s="4" t="s">
        <v>34</v>
      </c>
      <c r="L56" s="4" t="s">
        <v>248</v>
      </c>
    </row>
    <row r="57" spans="1:14" ht="15.75" x14ac:dyDescent="0.25">
      <c r="A57" s="4">
        <v>53</v>
      </c>
      <c r="B57" s="4">
        <v>289138</v>
      </c>
      <c r="C57" s="34" t="s">
        <v>114</v>
      </c>
      <c r="D57" s="4" t="s">
        <v>138</v>
      </c>
      <c r="E57" s="4" t="s">
        <v>37</v>
      </c>
      <c r="F57" s="68">
        <f>(45+51+59+41+37+37+22+31+30+30+30+30)/600*100</f>
        <v>73.833333333333329</v>
      </c>
      <c r="G57" s="4" t="s">
        <v>34</v>
      </c>
      <c r="H57" s="4">
        <v>1205015216</v>
      </c>
      <c r="I57" s="4">
        <v>321</v>
      </c>
      <c r="J57" s="4" t="s">
        <v>36</v>
      </c>
      <c r="K57" s="4" t="s">
        <v>34</v>
      </c>
      <c r="L57" s="4"/>
    </row>
    <row r="58" spans="1:14" ht="15.75" x14ac:dyDescent="0.25">
      <c r="A58" s="4">
        <v>54</v>
      </c>
      <c r="B58" s="4">
        <v>331031</v>
      </c>
      <c r="C58" s="34" t="s">
        <v>232</v>
      </c>
      <c r="D58" s="4" t="s">
        <v>233</v>
      </c>
      <c r="E58" s="4" t="s">
        <v>33</v>
      </c>
      <c r="F58" s="35">
        <f>(45+59+56+53+52+56+48+38+29+30+24+27)/6</f>
        <v>86.166666666666671</v>
      </c>
      <c r="G58" s="4" t="s">
        <v>34</v>
      </c>
      <c r="H58" s="4">
        <v>1206017213</v>
      </c>
      <c r="I58" s="4">
        <v>295</v>
      </c>
      <c r="J58" s="4" t="s">
        <v>220</v>
      </c>
      <c r="K58" s="4" t="s">
        <v>34</v>
      </c>
      <c r="L58" s="4" t="s">
        <v>248</v>
      </c>
    </row>
    <row r="59" spans="1:14" ht="31.5" x14ac:dyDescent="0.25">
      <c r="A59" s="4">
        <v>55</v>
      </c>
      <c r="B59" s="8">
        <v>362668</v>
      </c>
      <c r="C59" s="34" t="s">
        <v>192</v>
      </c>
      <c r="D59" s="4" t="s">
        <v>209</v>
      </c>
      <c r="E59" s="4" t="s">
        <v>33</v>
      </c>
      <c r="F59" s="68">
        <f>(54+54+56+42+58+54+55+43+24+26+27+19)/600*100</f>
        <v>85.333333333333343</v>
      </c>
      <c r="G59" s="4" t="s">
        <v>34</v>
      </c>
      <c r="H59" s="4"/>
      <c r="I59" s="4">
        <v>277</v>
      </c>
      <c r="J59" s="4" t="s">
        <v>196</v>
      </c>
      <c r="K59" s="4" t="s">
        <v>34</v>
      </c>
      <c r="L59" s="4" t="s">
        <v>248</v>
      </c>
    </row>
    <row r="60" spans="1:14" ht="15.75" x14ac:dyDescent="0.25">
      <c r="A60" s="4">
        <v>56</v>
      </c>
      <c r="B60" s="4">
        <v>369598</v>
      </c>
      <c r="C60" s="34" t="s">
        <v>115</v>
      </c>
      <c r="D60" s="4" t="s">
        <v>153</v>
      </c>
      <c r="E60" s="4" t="s">
        <v>37</v>
      </c>
      <c r="F60" s="68">
        <f>(58+60+56+38+54+50+51+23+30+30+27+29)/600*100</f>
        <v>84.333333333333343</v>
      </c>
      <c r="G60" s="4" t="s">
        <v>34</v>
      </c>
      <c r="H60" s="4">
        <v>1205005178</v>
      </c>
      <c r="I60" s="4">
        <v>273</v>
      </c>
      <c r="J60" s="110" t="s">
        <v>36</v>
      </c>
      <c r="K60" s="4" t="s">
        <v>34</v>
      </c>
      <c r="L60" s="4"/>
    </row>
    <row r="61" spans="1:14" ht="31.5" x14ac:dyDescent="0.25">
      <c r="A61" s="4">
        <v>57</v>
      </c>
      <c r="B61" s="4">
        <v>375618</v>
      </c>
      <c r="C61" s="34" t="s">
        <v>116</v>
      </c>
      <c r="D61" s="4" t="s">
        <v>132</v>
      </c>
      <c r="E61" s="4" t="s">
        <v>33</v>
      </c>
      <c r="F61" s="68">
        <v>97.5</v>
      </c>
      <c r="G61" s="4" t="s">
        <v>34</v>
      </c>
      <c r="H61" s="4">
        <v>1205002707</v>
      </c>
      <c r="I61" s="4">
        <v>270</v>
      </c>
      <c r="J61" s="110" t="s">
        <v>36</v>
      </c>
      <c r="K61" s="4" t="s">
        <v>34</v>
      </c>
      <c r="L61" s="4"/>
    </row>
    <row r="62" spans="1:14" ht="15.75" x14ac:dyDescent="0.25">
      <c r="A62" s="4">
        <v>58</v>
      </c>
      <c r="B62" s="4">
        <v>376834</v>
      </c>
      <c r="C62" s="34" t="s">
        <v>125</v>
      </c>
      <c r="D62" s="4" t="s">
        <v>149</v>
      </c>
      <c r="E62" s="4" t="s">
        <v>41</v>
      </c>
      <c r="F62" s="68">
        <f>(58+58+60+53+59+47+57+44+27+29+23+26)/600*100</f>
        <v>90.166666666666657</v>
      </c>
      <c r="G62" s="4" t="s">
        <v>34</v>
      </c>
      <c r="H62" s="4">
        <v>1205029069</v>
      </c>
      <c r="I62" s="4">
        <v>269</v>
      </c>
      <c r="J62" s="4" t="s">
        <v>36</v>
      </c>
      <c r="K62" s="4" t="s">
        <v>34</v>
      </c>
      <c r="L62" s="4"/>
    </row>
    <row r="63" spans="1:14" ht="15.75" x14ac:dyDescent="0.25">
      <c r="A63" s="4">
        <v>59</v>
      </c>
      <c r="B63" s="8">
        <v>387707</v>
      </c>
      <c r="C63" s="34" t="s">
        <v>191</v>
      </c>
      <c r="D63" s="4" t="s">
        <v>206</v>
      </c>
      <c r="E63" s="4" t="s">
        <v>33</v>
      </c>
      <c r="F63" s="68">
        <f>(55+45+51+55+50+45+43+44+28+28+13+23)/600*100</f>
        <v>80</v>
      </c>
      <c r="G63" s="4" t="s">
        <v>34</v>
      </c>
      <c r="H63" s="4"/>
      <c r="I63" s="4">
        <v>263</v>
      </c>
      <c r="J63" s="4" t="s">
        <v>196</v>
      </c>
      <c r="K63" s="4" t="s">
        <v>34</v>
      </c>
      <c r="L63" s="4" t="s">
        <v>248</v>
      </c>
    </row>
    <row r="64" spans="1:14" ht="15.75" x14ac:dyDescent="0.25">
      <c r="A64" s="4">
        <v>60</v>
      </c>
      <c r="B64" s="4">
        <v>391946</v>
      </c>
      <c r="C64" s="34" t="s">
        <v>117</v>
      </c>
      <c r="D64" s="4" t="s">
        <v>137</v>
      </c>
      <c r="E64" s="4" t="s">
        <v>33</v>
      </c>
      <c r="F64" s="68">
        <f>(55+46+58+33+45+55+38+46+28+27+27+28)/600*100</f>
        <v>81</v>
      </c>
      <c r="G64" s="4" t="s">
        <v>34</v>
      </c>
      <c r="H64" s="4">
        <v>1206008412</v>
      </c>
      <c r="I64" s="4">
        <v>261</v>
      </c>
      <c r="J64" s="4" t="s">
        <v>36</v>
      </c>
      <c r="K64" s="4" t="s">
        <v>34</v>
      </c>
      <c r="L64" s="4"/>
    </row>
    <row r="65" spans="1:12" ht="31.5" x14ac:dyDescent="0.25">
      <c r="A65" s="4">
        <v>61</v>
      </c>
      <c r="B65" s="4">
        <v>402004</v>
      </c>
      <c r="C65" s="34" t="s">
        <v>118</v>
      </c>
      <c r="D65" s="4" t="s">
        <v>141</v>
      </c>
      <c r="E65" s="4" t="s">
        <v>33</v>
      </c>
      <c r="F65" s="68">
        <f>(60+58+59+58+60+53+60+52+30+30+30+30)/600*100</f>
        <v>96.666666666666671</v>
      </c>
      <c r="G65" s="4" t="s">
        <v>34</v>
      </c>
      <c r="H65" s="4">
        <v>1205001607</v>
      </c>
      <c r="I65" s="4">
        <v>256</v>
      </c>
      <c r="J65" s="4" t="s">
        <v>133</v>
      </c>
      <c r="K65" s="4" t="s">
        <v>34</v>
      </c>
      <c r="L65" s="4"/>
    </row>
    <row r="66" spans="1:12" ht="15.75" x14ac:dyDescent="0.25">
      <c r="A66" s="4">
        <v>62</v>
      </c>
      <c r="B66" s="4">
        <v>413011</v>
      </c>
      <c r="C66" s="34" t="s">
        <v>126</v>
      </c>
      <c r="D66" s="4" t="s">
        <v>150</v>
      </c>
      <c r="E66" s="4" t="s">
        <v>33</v>
      </c>
      <c r="F66" s="68">
        <f>(60+60+60+56+60+56+57+55+30+29+27+29)/600*100</f>
        <v>96.5</v>
      </c>
      <c r="G66" s="4" t="s">
        <v>34</v>
      </c>
      <c r="H66" s="4">
        <v>1205003094</v>
      </c>
      <c r="I66" s="4">
        <v>250</v>
      </c>
      <c r="J66" s="4" t="s">
        <v>35</v>
      </c>
      <c r="K66" s="4" t="s">
        <v>34</v>
      </c>
      <c r="L66" s="4"/>
    </row>
    <row r="67" spans="1:12" ht="31.5" x14ac:dyDescent="0.25">
      <c r="A67" s="4">
        <v>63</v>
      </c>
      <c r="B67" s="4">
        <v>415631</v>
      </c>
      <c r="C67" s="34" t="s">
        <v>109</v>
      </c>
      <c r="D67" s="110" t="s">
        <v>148</v>
      </c>
      <c r="E67" s="4" t="s">
        <v>33</v>
      </c>
      <c r="F67" s="68">
        <f>(45+46+41+45+44+60+41+37+30+30+26+28)/600*100</f>
        <v>78.833333333333329</v>
      </c>
      <c r="G67" s="4" t="s">
        <v>34</v>
      </c>
      <c r="H67" s="4">
        <v>1205035184</v>
      </c>
      <c r="I67" s="4">
        <v>249</v>
      </c>
      <c r="J67" s="4" t="s">
        <v>133</v>
      </c>
      <c r="K67" s="4" t="s">
        <v>34</v>
      </c>
      <c r="L67" s="4"/>
    </row>
    <row r="68" spans="1:12" ht="31.5" x14ac:dyDescent="0.25">
      <c r="A68" s="4">
        <v>64</v>
      </c>
      <c r="B68" s="4">
        <v>434483</v>
      </c>
      <c r="C68" s="34" t="s">
        <v>110</v>
      </c>
      <c r="D68" s="4" t="s">
        <v>147</v>
      </c>
      <c r="E68" s="4" t="s">
        <v>33</v>
      </c>
      <c r="F68" s="68">
        <f>(59+63+77)/300*100</f>
        <v>66.333333333333329</v>
      </c>
      <c r="G68" s="4" t="s">
        <v>34</v>
      </c>
      <c r="H68" s="4">
        <v>1206015184</v>
      </c>
      <c r="I68" s="4">
        <v>240</v>
      </c>
      <c r="J68" s="4" t="s">
        <v>133</v>
      </c>
      <c r="K68" s="4" t="s">
        <v>34</v>
      </c>
      <c r="L68" s="4"/>
    </row>
    <row r="69" spans="1:12" ht="31.5" x14ac:dyDescent="0.25">
      <c r="A69" s="4">
        <v>65</v>
      </c>
      <c r="B69" s="4">
        <v>442131</v>
      </c>
      <c r="C69" s="34" t="s">
        <v>111</v>
      </c>
      <c r="D69" s="4" t="s">
        <v>142</v>
      </c>
      <c r="E69" s="4" t="s">
        <v>33</v>
      </c>
      <c r="F69" s="68">
        <f>(58+48+60+46+41+34+43+26+28+30+29+30)/600*100</f>
        <v>78.833333333333329</v>
      </c>
      <c r="G69" s="4" t="s">
        <v>34</v>
      </c>
      <c r="H69" s="4">
        <v>1205005095</v>
      </c>
      <c r="I69" s="4">
        <v>236</v>
      </c>
      <c r="J69" s="4" t="s">
        <v>133</v>
      </c>
      <c r="K69" s="4" t="s">
        <v>34</v>
      </c>
      <c r="L69" s="4"/>
    </row>
    <row r="70" spans="1:12" ht="15.75" x14ac:dyDescent="0.25">
      <c r="A70" s="4">
        <v>66</v>
      </c>
      <c r="B70" s="4">
        <v>446958</v>
      </c>
      <c r="C70" s="34" t="s">
        <v>124</v>
      </c>
      <c r="D70" s="4" t="s">
        <v>139</v>
      </c>
      <c r="E70" s="4" t="s">
        <v>41</v>
      </c>
      <c r="F70" s="68">
        <f>(59+50+53+41+57+57+53+40+28+28+22+27)/600*100</f>
        <v>85.833333333333329</v>
      </c>
      <c r="G70" s="4" t="s">
        <v>34</v>
      </c>
      <c r="H70" s="4">
        <v>1205008363</v>
      </c>
      <c r="I70" s="4">
        <v>234</v>
      </c>
      <c r="J70" s="4" t="s">
        <v>35</v>
      </c>
      <c r="K70" s="4" t="s">
        <v>34</v>
      </c>
      <c r="L70" s="4"/>
    </row>
    <row r="71" spans="1:12" ht="15.75" x14ac:dyDescent="0.25">
      <c r="A71" s="4">
        <v>67</v>
      </c>
      <c r="B71" s="4">
        <v>465282</v>
      </c>
      <c r="C71" s="34" t="s">
        <v>112</v>
      </c>
      <c r="D71" s="4" t="s">
        <v>155</v>
      </c>
      <c r="E71" s="4" t="s">
        <v>33</v>
      </c>
      <c r="F71" s="68">
        <f>(56+53+48+45+58+51+57+46+29+30+26+30)/600*100</f>
        <v>88.166666666666671</v>
      </c>
      <c r="G71" s="4" t="s">
        <v>34</v>
      </c>
      <c r="H71" s="4">
        <v>1205002154</v>
      </c>
      <c r="I71" s="4">
        <v>226</v>
      </c>
      <c r="J71" s="4" t="s">
        <v>133</v>
      </c>
      <c r="K71" s="4" t="s">
        <v>34</v>
      </c>
      <c r="L71" s="4"/>
    </row>
    <row r="72" spans="1:12" ht="15.75" x14ac:dyDescent="0.25">
      <c r="A72" s="4">
        <v>68</v>
      </c>
      <c r="B72" s="4">
        <v>468744</v>
      </c>
      <c r="C72" s="34" t="s">
        <v>128</v>
      </c>
      <c r="D72" s="4" t="s">
        <v>136</v>
      </c>
      <c r="E72" s="4" t="s">
        <v>33</v>
      </c>
      <c r="F72" s="68">
        <f>(60+57+60+52+57+60+53+48+30+26+29+29)/600*100</f>
        <v>93.5</v>
      </c>
      <c r="G72" s="4" t="s">
        <v>34</v>
      </c>
      <c r="H72" s="4">
        <v>1205005147</v>
      </c>
      <c r="I72" s="4">
        <v>224</v>
      </c>
      <c r="J72" s="4" t="s">
        <v>35</v>
      </c>
      <c r="K72" s="4" t="s">
        <v>34</v>
      </c>
      <c r="L72" s="4"/>
    </row>
    <row r="73" spans="1:12" ht="31.5" x14ac:dyDescent="0.25">
      <c r="A73" s="4">
        <v>69</v>
      </c>
      <c r="B73" s="4">
        <v>492149</v>
      </c>
      <c r="C73" s="34" t="s">
        <v>119</v>
      </c>
      <c r="D73" s="4" t="s">
        <v>142</v>
      </c>
      <c r="E73" s="4" t="s">
        <v>33</v>
      </c>
      <c r="F73" s="68">
        <f>(60+55+58+53+54+53+47+36+30+29+30+30)/600*100</f>
        <v>89.166666666666671</v>
      </c>
      <c r="G73" s="4" t="s">
        <v>34</v>
      </c>
      <c r="H73" s="4">
        <v>1205005500</v>
      </c>
      <c r="I73" s="4">
        <v>214</v>
      </c>
      <c r="J73" s="4" t="s">
        <v>133</v>
      </c>
      <c r="K73" s="4" t="s">
        <v>34</v>
      </c>
      <c r="L73" s="4"/>
    </row>
    <row r="74" spans="1:12" ht="15.75" x14ac:dyDescent="0.25">
      <c r="A74" s="4">
        <v>70</v>
      </c>
      <c r="B74" s="4">
        <v>510470</v>
      </c>
      <c r="C74" s="34" t="s">
        <v>187</v>
      </c>
      <c r="D74" s="4" t="s">
        <v>210</v>
      </c>
      <c r="E74" s="4" t="s">
        <v>37</v>
      </c>
      <c r="F74" s="68">
        <f>(60+56+54+58+53+56+56+45+27+26+24+26)/600*100</f>
        <v>90.166666666666657</v>
      </c>
      <c r="G74" s="4" t="s">
        <v>34</v>
      </c>
      <c r="H74" s="4">
        <v>1206027258</v>
      </c>
      <c r="I74" s="4">
        <v>206</v>
      </c>
      <c r="J74" s="4" t="s">
        <v>196</v>
      </c>
      <c r="K74" s="4" t="s">
        <v>34</v>
      </c>
      <c r="L74" s="4" t="s">
        <v>248</v>
      </c>
    </row>
    <row r="75" spans="1:12" ht="15.75" x14ac:dyDescent="0.25">
      <c r="A75" s="4">
        <v>71</v>
      </c>
      <c r="B75" s="4">
        <v>517998</v>
      </c>
      <c r="C75" s="34" t="s">
        <v>171</v>
      </c>
      <c r="D75" s="4" t="s">
        <v>172</v>
      </c>
      <c r="E75" s="4" t="s">
        <v>33</v>
      </c>
      <c r="F75" s="68">
        <v>94.66</v>
      </c>
      <c r="G75" s="4" t="s">
        <v>34</v>
      </c>
      <c r="H75" s="4">
        <v>1203010201</v>
      </c>
      <c r="I75" s="4">
        <v>203</v>
      </c>
      <c r="J75" s="4" t="s">
        <v>173</v>
      </c>
      <c r="K75" s="4" t="s">
        <v>34</v>
      </c>
      <c r="L75" s="4"/>
    </row>
    <row r="76" spans="1:12" ht="31.5" x14ac:dyDescent="0.25">
      <c r="A76" s="4">
        <v>72</v>
      </c>
      <c r="B76" s="4">
        <v>522957</v>
      </c>
      <c r="C76" s="34" t="s">
        <v>130</v>
      </c>
      <c r="D76" s="4" t="s">
        <v>151</v>
      </c>
      <c r="E76" s="4" t="s">
        <v>152</v>
      </c>
      <c r="F76" s="68">
        <f>(49+28+44+49+48+49+49+40+29+29+26+26)/600*100</f>
        <v>77.666666666666657</v>
      </c>
      <c r="G76" s="4" t="s">
        <v>34</v>
      </c>
      <c r="H76" s="4">
        <v>1205014229</v>
      </c>
      <c r="I76" s="4">
        <v>201</v>
      </c>
      <c r="J76" s="4" t="s">
        <v>35</v>
      </c>
      <c r="K76" s="4" t="s">
        <v>34</v>
      </c>
      <c r="L76" s="4"/>
    </row>
    <row r="77" spans="1:12" ht="15.75" x14ac:dyDescent="0.25">
      <c r="A77" s="4">
        <v>73</v>
      </c>
      <c r="B77" s="8">
        <v>523826</v>
      </c>
      <c r="C77" s="34" t="s">
        <v>194</v>
      </c>
      <c r="D77" s="4" t="s">
        <v>195</v>
      </c>
      <c r="E77" s="4" t="s">
        <v>33</v>
      </c>
      <c r="F77" s="68">
        <f>(82+78+93)/300*100</f>
        <v>84.333333333333343</v>
      </c>
      <c r="G77" s="4" t="s">
        <v>34</v>
      </c>
      <c r="H77" s="4">
        <v>1206012294</v>
      </c>
      <c r="I77" s="4">
        <v>201</v>
      </c>
      <c r="J77" s="4" t="s">
        <v>196</v>
      </c>
      <c r="K77" s="4" t="s">
        <v>34</v>
      </c>
      <c r="L77" s="4" t="s">
        <v>248</v>
      </c>
    </row>
    <row r="78" spans="1:12" ht="31.5" x14ac:dyDescent="0.25">
      <c r="A78" s="4">
        <v>74</v>
      </c>
      <c r="B78" s="4">
        <v>574274</v>
      </c>
      <c r="C78" s="34" t="s">
        <v>120</v>
      </c>
      <c r="D78" s="4" t="s">
        <v>140</v>
      </c>
      <c r="E78" s="4" t="s">
        <v>39</v>
      </c>
      <c r="F78" s="68">
        <f>(37+23+21+27+29+24+42+26+24+25+25+28)/600*100</f>
        <v>55.166666666666664</v>
      </c>
      <c r="G78" s="4" t="s">
        <v>34</v>
      </c>
      <c r="H78" s="4">
        <v>1206006101</v>
      </c>
      <c r="I78" s="4">
        <v>182</v>
      </c>
      <c r="J78" s="4" t="s">
        <v>36</v>
      </c>
      <c r="K78" s="4" t="s">
        <v>34</v>
      </c>
      <c r="L78" s="4"/>
    </row>
    <row r="79" spans="1:12" ht="15.75" x14ac:dyDescent="0.25">
      <c r="A79" s="4">
        <v>75</v>
      </c>
      <c r="B79" s="4">
        <v>599676</v>
      </c>
      <c r="C79" s="34" t="s">
        <v>241</v>
      </c>
      <c r="D79" s="4" t="s">
        <v>144</v>
      </c>
      <c r="E79" s="4" t="s">
        <v>33</v>
      </c>
      <c r="F79" s="68">
        <f>(65+79+88)/300*100</f>
        <v>77.333333333333329</v>
      </c>
      <c r="G79" s="4" t="s">
        <v>34</v>
      </c>
      <c r="H79" s="4">
        <v>1201007078</v>
      </c>
      <c r="I79" s="4">
        <v>173</v>
      </c>
      <c r="J79" s="4" t="s">
        <v>145</v>
      </c>
      <c r="K79" s="4" t="s">
        <v>34</v>
      </c>
      <c r="L79" s="4"/>
    </row>
    <row r="80" spans="1:12" ht="15.75" x14ac:dyDescent="0.25">
      <c r="A80" s="4">
        <v>76</v>
      </c>
      <c r="B80" s="4">
        <v>619547</v>
      </c>
      <c r="C80" s="34" t="s">
        <v>127</v>
      </c>
      <c r="D80" s="4" t="s">
        <v>134</v>
      </c>
      <c r="E80" s="4" t="s">
        <v>160</v>
      </c>
      <c r="F80" s="68">
        <f>(74+53+70)/300*100</f>
        <v>65.666666666666657</v>
      </c>
      <c r="G80" s="4" t="s">
        <v>34</v>
      </c>
      <c r="H80" s="4">
        <v>4608206029</v>
      </c>
      <c r="I80" s="4">
        <v>166</v>
      </c>
      <c r="J80" s="4" t="s">
        <v>36</v>
      </c>
      <c r="K80" s="4" t="s">
        <v>34</v>
      </c>
      <c r="L80" s="4"/>
    </row>
    <row r="81" spans="1:12" ht="15.75" x14ac:dyDescent="0.25">
      <c r="A81" s="4">
        <v>77</v>
      </c>
      <c r="B81" s="4">
        <v>637448</v>
      </c>
      <c r="C81" s="34" t="s">
        <v>197</v>
      </c>
      <c r="D81" s="4" t="s">
        <v>137</v>
      </c>
      <c r="E81" s="4" t="s">
        <v>33</v>
      </c>
      <c r="F81" s="4">
        <f>(42+51+34+35+42+38+42+45+30+28+29+28)/600*100</f>
        <v>74</v>
      </c>
      <c r="G81" s="4" t="s">
        <v>34</v>
      </c>
      <c r="H81" s="4">
        <v>1205016161</v>
      </c>
      <c r="I81" s="4">
        <v>160</v>
      </c>
      <c r="J81" s="4" t="s">
        <v>196</v>
      </c>
      <c r="K81" s="4" t="s">
        <v>34</v>
      </c>
      <c r="L81" s="4" t="s">
        <v>248</v>
      </c>
    </row>
    <row r="82" spans="1:12" ht="31.5" x14ac:dyDescent="0.25">
      <c r="A82" s="4">
        <v>78</v>
      </c>
      <c r="B82" s="4">
        <v>647900</v>
      </c>
      <c r="C82" s="34" t="s">
        <v>189</v>
      </c>
      <c r="D82" s="4" t="s">
        <v>193</v>
      </c>
      <c r="E82" s="4" t="s">
        <v>43</v>
      </c>
      <c r="F82" s="68">
        <f>(55+35+40+26+58+44+44+26+28+30+28+30)/600*100</f>
        <v>74</v>
      </c>
      <c r="G82" s="4" t="s">
        <v>34</v>
      </c>
      <c r="H82" s="4">
        <v>1206010106</v>
      </c>
      <c r="I82" s="4">
        <v>157</v>
      </c>
      <c r="J82" s="4" t="s">
        <v>196</v>
      </c>
      <c r="K82" s="4" t="s">
        <v>34</v>
      </c>
      <c r="L82" s="4" t="s">
        <v>248</v>
      </c>
    </row>
    <row r="83" spans="1:12" ht="15.75" x14ac:dyDescent="0.25">
      <c r="A83" s="4">
        <v>79</v>
      </c>
      <c r="B83" s="4">
        <v>657351</v>
      </c>
      <c r="C83" s="34" t="s">
        <v>188</v>
      </c>
      <c r="D83" s="4" t="s">
        <v>199</v>
      </c>
      <c r="E83" s="4" t="s">
        <v>37</v>
      </c>
      <c r="F83" s="68">
        <f>(50+54+56+44+60+58+60+44+27+28+28+27)/600*100</f>
        <v>89.333333333333329</v>
      </c>
      <c r="G83" s="4" t="s">
        <v>34</v>
      </c>
      <c r="H83" s="4">
        <v>1205008162</v>
      </c>
      <c r="I83" s="4">
        <v>154</v>
      </c>
      <c r="J83" s="4" t="s">
        <v>196</v>
      </c>
      <c r="K83" s="4" t="s">
        <v>34</v>
      </c>
      <c r="L83" s="4" t="s">
        <v>248</v>
      </c>
    </row>
    <row r="84" spans="1:12" ht="31.5" x14ac:dyDescent="0.25">
      <c r="A84" s="4">
        <v>80</v>
      </c>
      <c r="B84" s="4">
        <v>666142</v>
      </c>
      <c r="C84" s="34" t="s">
        <v>131</v>
      </c>
      <c r="D84" s="4" t="s">
        <v>143</v>
      </c>
      <c r="E84" s="4" t="s">
        <v>37</v>
      </c>
      <c r="F84" s="68">
        <f>(57+60+47+48+56+55+57+51+41+30+29+28+29)/600*100</f>
        <v>98</v>
      </c>
      <c r="G84" s="4" t="s">
        <v>34</v>
      </c>
      <c r="H84" s="4">
        <v>4201115445</v>
      </c>
      <c r="I84" s="4">
        <v>151</v>
      </c>
      <c r="J84" s="4" t="s">
        <v>204</v>
      </c>
      <c r="K84" s="4" t="s">
        <v>34</v>
      </c>
      <c r="L84" s="4"/>
    </row>
    <row r="85" spans="1:12" ht="31.5" x14ac:dyDescent="0.25">
      <c r="A85" s="4">
        <v>81</v>
      </c>
      <c r="B85" s="4">
        <v>674259</v>
      </c>
      <c r="C85" s="34" t="s">
        <v>174</v>
      </c>
      <c r="D85" s="4" t="s">
        <v>205</v>
      </c>
      <c r="E85" s="4" t="s">
        <v>33</v>
      </c>
      <c r="F85" s="68">
        <f>(51+36+42+41+60+59+55+40+30+27+28+28)/600*100</f>
        <v>82.833333333333343</v>
      </c>
      <c r="G85" s="4" t="s">
        <v>34</v>
      </c>
      <c r="H85" s="4">
        <v>1201006053</v>
      </c>
      <c r="I85" s="4">
        <v>149</v>
      </c>
      <c r="J85" s="4" t="s">
        <v>173</v>
      </c>
      <c r="K85" s="4" t="s">
        <v>34</v>
      </c>
      <c r="L85" s="4"/>
    </row>
    <row r="86" spans="1:12" ht="15.75" x14ac:dyDescent="0.25">
      <c r="A86" s="4">
        <v>82</v>
      </c>
      <c r="B86" s="4">
        <v>691120</v>
      </c>
      <c r="C86" s="34" t="s">
        <v>129</v>
      </c>
      <c r="D86" s="4" t="s">
        <v>146</v>
      </c>
      <c r="E86" s="4" t="s">
        <v>37</v>
      </c>
      <c r="F86" s="68">
        <f>(53+45+21+33+36+34+34+27+26+23+28+26)/600*100</f>
        <v>64.333333333333329</v>
      </c>
      <c r="G86" s="4" t="s">
        <v>34</v>
      </c>
      <c r="H86" s="4">
        <v>1206006042</v>
      </c>
      <c r="I86" s="4">
        <v>144</v>
      </c>
      <c r="J86" s="4" t="s">
        <v>35</v>
      </c>
      <c r="K86" s="4" t="s">
        <v>34</v>
      </c>
      <c r="L86" s="4"/>
    </row>
    <row r="87" spans="1:12" ht="15.75" x14ac:dyDescent="0.25">
      <c r="A87" s="4">
        <v>83</v>
      </c>
      <c r="B87" s="4">
        <v>696896</v>
      </c>
      <c r="C87" s="34" t="s">
        <v>198</v>
      </c>
      <c r="D87" s="4" t="s">
        <v>207</v>
      </c>
      <c r="E87" s="4" t="s">
        <v>37</v>
      </c>
      <c r="F87" s="4">
        <f>(51+55+50+32+53+44+49+36+30+30+29+30)/600*100</f>
        <v>81.5</v>
      </c>
      <c r="G87" s="4" t="s">
        <v>34</v>
      </c>
      <c r="H87" s="4">
        <v>1205022335</v>
      </c>
      <c r="I87" s="4">
        <v>142</v>
      </c>
      <c r="J87" s="4" t="s">
        <v>196</v>
      </c>
      <c r="K87" s="4" t="s">
        <v>34</v>
      </c>
      <c r="L87" s="4" t="s">
        <v>248</v>
      </c>
    </row>
    <row r="88" spans="1:12" ht="15.75" x14ac:dyDescent="0.25">
      <c r="A88" s="4">
        <v>84</v>
      </c>
      <c r="B88" s="4">
        <v>716635</v>
      </c>
      <c r="C88" s="34" t="s">
        <v>230</v>
      </c>
      <c r="D88" s="4" t="s">
        <v>231</v>
      </c>
      <c r="E88" s="4" t="s">
        <v>33</v>
      </c>
      <c r="F88" s="115">
        <f>(35+41+36+35+52+46+31+26+30+29+27+21)/6</f>
        <v>68.166666666666671</v>
      </c>
      <c r="G88" s="4" t="s">
        <v>34</v>
      </c>
      <c r="H88" s="4">
        <v>1205002838</v>
      </c>
      <c r="I88" s="4">
        <v>137</v>
      </c>
      <c r="J88" s="4" t="s">
        <v>220</v>
      </c>
      <c r="K88" s="4" t="s">
        <v>34</v>
      </c>
      <c r="L88" s="4" t="s">
        <v>248</v>
      </c>
    </row>
    <row r="89" spans="1:12" ht="31.5" x14ac:dyDescent="0.25">
      <c r="A89" s="4">
        <v>85</v>
      </c>
      <c r="B89" s="4">
        <v>726977</v>
      </c>
      <c r="C89" s="34" t="s">
        <v>216</v>
      </c>
      <c r="D89" s="4" t="s">
        <v>217</v>
      </c>
      <c r="E89" s="4" t="s">
        <v>33</v>
      </c>
      <c r="F89" s="115">
        <f>(30+32+45+44+34+37+52+30+30+28+30+29)/600*100</f>
        <v>70.166666666666671</v>
      </c>
      <c r="G89" s="4" t="s">
        <v>34</v>
      </c>
      <c r="H89" s="4">
        <v>1205002040</v>
      </c>
      <c r="I89" s="4">
        <v>134</v>
      </c>
      <c r="J89" s="4" t="s">
        <v>213</v>
      </c>
      <c r="K89" s="4" t="s">
        <v>34</v>
      </c>
      <c r="L89" s="4" t="s">
        <v>248</v>
      </c>
    </row>
    <row r="90" spans="1:12" ht="31.5" x14ac:dyDescent="0.25">
      <c r="A90" s="4">
        <v>86</v>
      </c>
      <c r="B90" s="4">
        <v>268398</v>
      </c>
      <c r="C90" s="34" t="s">
        <v>218</v>
      </c>
      <c r="D90" s="4" t="s">
        <v>219</v>
      </c>
      <c r="E90" s="4" t="s">
        <v>37</v>
      </c>
      <c r="F90" s="35">
        <f>(55+56+58+49+55+59+59+49+28+28+30+23)/600*100</f>
        <v>91.5</v>
      </c>
      <c r="G90" s="4" t="s">
        <v>34</v>
      </c>
      <c r="H90" s="4">
        <v>1205034164</v>
      </c>
      <c r="I90" s="4">
        <v>335</v>
      </c>
      <c r="J90" s="4" t="s">
        <v>220</v>
      </c>
      <c r="K90" s="4" t="s">
        <v>34</v>
      </c>
      <c r="L90" s="4" t="s">
        <v>246</v>
      </c>
    </row>
    <row r="91" spans="1:12" ht="15.75" x14ac:dyDescent="0.25">
      <c r="A91" s="4">
        <v>87</v>
      </c>
      <c r="B91" s="4">
        <v>283173</v>
      </c>
      <c r="C91" s="34" t="s">
        <v>223</v>
      </c>
      <c r="D91" s="4" t="s">
        <v>224</v>
      </c>
      <c r="E91" s="4" t="s">
        <v>33</v>
      </c>
      <c r="F91" s="115">
        <f>(58+55+60+51+180+55+28+28+28+28)/600*100</f>
        <v>95.166666666666671</v>
      </c>
      <c r="G91" s="4" t="s">
        <v>34</v>
      </c>
      <c r="H91" s="4">
        <v>1205003053</v>
      </c>
      <c r="I91" s="4">
        <v>325</v>
      </c>
      <c r="J91" s="4" t="s">
        <v>220</v>
      </c>
      <c r="K91" s="4" t="s">
        <v>34</v>
      </c>
      <c r="L91" s="4" t="s">
        <v>246</v>
      </c>
    </row>
    <row r="92" spans="1:12" ht="31.5" x14ac:dyDescent="0.25">
      <c r="A92" s="4">
        <v>88</v>
      </c>
      <c r="B92" s="4">
        <v>334475</v>
      </c>
      <c r="C92" s="34" t="s">
        <v>234</v>
      </c>
      <c r="D92" s="4" t="s">
        <v>235</v>
      </c>
      <c r="E92" s="4" t="s">
        <v>33</v>
      </c>
      <c r="F92" s="35">
        <f>(59+51+58+55+57+60+58+46+29+28+18+27)/6</f>
        <v>91</v>
      </c>
      <c r="G92" s="4" t="s">
        <v>34</v>
      </c>
      <c r="H92" s="4">
        <v>1205001861</v>
      </c>
      <c r="I92" s="4">
        <v>293</v>
      </c>
      <c r="J92" s="4" t="s">
        <v>220</v>
      </c>
      <c r="K92" s="4" t="s">
        <v>34</v>
      </c>
      <c r="L92" s="4" t="s">
        <v>246</v>
      </c>
    </row>
    <row r="93" spans="1:12" ht="15.75" x14ac:dyDescent="0.25">
      <c r="A93" s="4">
        <v>89</v>
      </c>
      <c r="B93" s="8">
        <v>384337</v>
      </c>
      <c r="C93" s="34" t="s">
        <v>211</v>
      </c>
      <c r="D93" s="4" t="s">
        <v>212</v>
      </c>
      <c r="E93" s="4" t="s">
        <v>41</v>
      </c>
      <c r="F93" s="35">
        <f>(59+60+57+47+56+60+42+50+26+29+26+28)/600*100</f>
        <v>90</v>
      </c>
      <c r="G93" s="4" t="s">
        <v>34</v>
      </c>
      <c r="H93" s="4">
        <v>1205035183</v>
      </c>
      <c r="I93" s="4">
        <v>265</v>
      </c>
      <c r="J93" s="4" t="s">
        <v>213</v>
      </c>
      <c r="K93" s="4" t="s">
        <v>34</v>
      </c>
      <c r="L93" s="4" t="s">
        <v>246</v>
      </c>
    </row>
    <row r="94" spans="1:12" ht="31.5" x14ac:dyDescent="0.25">
      <c r="A94" s="4">
        <v>90</v>
      </c>
      <c r="B94" s="4">
        <v>404922</v>
      </c>
      <c r="C94" s="34" t="s">
        <v>108</v>
      </c>
      <c r="D94" s="4" t="s">
        <v>159</v>
      </c>
      <c r="E94" s="4" t="s">
        <v>41</v>
      </c>
      <c r="F94" s="68">
        <f>(82+85+95)/300*100</f>
        <v>87.333333333333329</v>
      </c>
      <c r="G94" s="4" t="s">
        <v>34</v>
      </c>
      <c r="H94" s="4">
        <v>1205012441</v>
      </c>
      <c r="I94" s="4">
        <v>255</v>
      </c>
      <c r="J94" s="4" t="s">
        <v>133</v>
      </c>
      <c r="K94" s="4" t="s">
        <v>34</v>
      </c>
      <c r="L94" s="4" t="s">
        <v>247</v>
      </c>
    </row>
    <row r="95" spans="1:12" ht="31.5" x14ac:dyDescent="0.25">
      <c r="A95" s="4">
        <v>91</v>
      </c>
      <c r="B95" s="4">
        <v>600524</v>
      </c>
      <c r="C95" s="34" t="s">
        <v>121</v>
      </c>
      <c r="D95" s="4" t="s">
        <v>158</v>
      </c>
      <c r="E95" s="4" t="s">
        <v>33</v>
      </c>
      <c r="F95" s="68">
        <f>(45+36+58+45+51+43+52+42+27+27+21+27)/600*100</f>
        <v>79</v>
      </c>
      <c r="G95" s="4" t="s">
        <v>34</v>
      </c>
      <c r="H95" s="4">
        <v>1206012257</v>
      </c>
      <c r="I95" s="4">
        <v>172</v>
      </c>
      <c r="J95" s="4" t="s">
        <v>36</v>
      </c>
      <c r="K95" s="4" t="s">
        <v>34</v>
      </c>
      <c r="L95" s="4" t="s">
        <v>247</v>
      </c>
    </row>
    <row r="96" spans="1:12" ht="31.5" x14ac:dyDescent="0.25">
      <c r="A96" s="4">
        <v>92</v>
      </c>
      <c r="B96" s="4">
        <v>663970</v>
      </c>
      <c r="C96" s="34" t="s">
        <v>122</v>
      </c>
      <c r="D96" s="110" t="s">
        <v>157</v>
      </c>
      <c r="E96" s="4" t="s">
        <v>43</v>
      </c>
      <c r="F96" s="68">
        <f>(37+31+45+41+58+54+25+28+22+30)/600*100</f>
        <v>61.833333333333329</v>
      </c>
      <c r="G96" s="4" t="s">
        <v>34</v>
      </c>
      <c r="H96" s="4">
        <v>1205033124</v>
      </c>
      <c r="I96" s="4">
        <v>152</v>
      </c>
      <c r="J96" s="110" t="s">
        <v>133</v>
      </c>
      <c r="K96" s="4" t="s">
        <v>34</v>
      </c>
      <c r="L96" s="4" t="s">
        <v>247</v>
      </c>
    </row>
    <row r="97" spans="1:12" ht="31.5" x14ac:dyDescent="0.25">
      <c r="A97" s="4">
        <v>93</v>
      </c>
      <c r="B97" s="4">
        <v>706054</v>
      </c>
      <c r="C97" s="34" t="s">
        <v>214</v>
      </c>
      <c r="D97" s="4" t="s">
        <v>215</v>
      </c>
      <c r="E97" s="4" t="s">
        <v>33</v>
      </c>
      <c r="F97" s="35">
        <f>(57+53+59+60+54+59+60+52+30+29+30+30)/600*100</f>
        <v>95.5</v>
      </c>
      <c r="G97" s="4" t="s">
        <v>34</v>
      </c>
      <c r="H97" s="4">
        <v>1206003275</v>
      </c>
      <c r="I97" s="4">
        <v>140</v>
      </c>
      <c r="J97" s="4" t="s">
        <v>213</v>
      </c>
      <c r="K97" s="4" t="s">
        <v>34</v>
      </c>
      <c r="L97" s="4" t="s">
        <v>246</v>
      </c>
    </row>
    <row r="98" spans="1:12" ht="15.75" x14ac:dyDescent="0.25">
      <c r="A98" s="4">
        <v>94</v>
      </c>
      <c r="B98" s="4">
        <v>717549</v>
      </c>
      <c r="C98" s="34" t="s">
        <v>123</v>
      </c>
      <c r="D98" s="4" t="s">
        <v>156</v>
      </c>
      <c r="E98" s="4" t="s">
        <v>37</v>
      </c>
      <c r="F98" s="68">
        <f>(54+39+45+41+52+53+39+32+28+27+26+21)/600*100</f>
        <v>76.166666666666671</v>
      </c>
      <c r="G98" s="4" t="s">
        <v>34</v>
      </c>
      <c r="H98" s="4">
        <v>1206014236</v>
      </c>
      <c r="I98" s="4">
        <v>137</v>
      </c>
      <c r="J98" s="4" t="s">
        <v>133</v>
      </c>
      <c r="K98" s="4" t="s">
        <v>34</v>
      </c>
      <c r="L98" s="4" t="s">
        <v>247</v>
      </c>
    </row>
    <row r="99" spans="1:12" ht="31.5" x14ac:dyDescent="0.25">
      <c r="A99" s="4">
        <v>95</v>
      </c>
      <c r="B99" s="4">
        <v>770830</v>
      </c>
      <c r="C99" s="34" t="s">
        <v>242</v>
      </c>
      <c r="D99" s="4" t="s">
        <v>236</v>
      </c>
      <c r="E99" s="4" t="s">
        <v>33</v>
      </c>
      <c r="F99" s="35">
        <f>(55+49+58+32+48+52+42+28+26+23+25)/6</f>
        <v>73</v>
      </c>
      <c r="G99" s="4" t="s">
        <v>34</v>
      </c>
      <c r="H99" s="4">
        <v>1204002041</v>
      </c>
      <c r="I99" s="4">
        <v>123</v>
      </c>
      <c r="J99" s="4" t="s">
        <v>227</v>
      </c>
      <c r="K99" s="4" t="s">
        <v>34</v>
      </c>
      <c r="L99" s="4" t="s">
        <v>246</v>
      </c>
    </row>
    <row r="100" spans="1:12" ht="31.5" x14ac:dyDescent="0.25">
      <c r="A100" s="4">
        <v>96</v>
      </c>
      <c r="B100" s="4">
        <v>787091</v>
      </c>
      <c r="C100" s="34" t="s">
        <v>228</v>
      </c>
      <c r="D100" s="4" t="s">
        <v>229</v>
      </c>
      <c r="E100" s="4" t="s">
        <v>33</v>
      </c>
      <c r="F100" s="115">
        <f>(55+41+53+38+55+55+40+51+27+25+15+20)/600*100</f>
        <v>79.166666666666657</v>
      </c>
      <c r="G100" s="4" t="s">
        <v>34</v>
      </c>
      <c r="H100" s="4">
        <v>1206034061</v>
      </c>
      <c r="I100" s="4">
        <v>126</v>
      </c>
      <c r="J100" s="4" t="s">
        <v>220</v>
      </c>
      <c r="K100" s="4" t="s">
        <v>34</v>
      </c>
      <c r="L100" s="4" t="s">
        <v>246</v>
      </c>
    </row>
    <row r="101" spans="1:12" ht="15.75" x14ac:dyDescent="0.25">
      <c r="A101" s="4">
        <v>97</v>
      </c>
      <c r="B101" s="4">
        <v>811147</v>
      </c>
      <c r="C101" s="34" t="s">
        <v>225</v>
      </c>
      <c r="D101" s="4" t="s">
        <v>226</v>
      </c>
      <c r="E101" s="4" t="s">
        <v>33</v>
      </c>
      <c r="F101" s="115">
        <f>(40+36+32+33+25+52+24+21+29+29+21+25)/600*100</f>
        <v>61.166666666666671</v>
      </c>
      <c r="G101" s="4" t="s">
        <v>34</v>
      </c>
      <c r="H101" s="4">
        <v>1204002124</v>
      </c>
      <c r="I101" s="4">
        <v>114</v>
      </c>
      <c r="J101" s="4" t="s">
        <v>227</v>
      </c>
      <c r="K101" s="4" t="s">
        <v>34</v>
      </c>
      <c r="L101" s="4" t="s">
        <v>246</v>
      </c>
    </row>
    <row r="102" spans="1:12" ht="31.5" x14ac:dyDescent="0.25">
      <c r="A102" s="4">
        <v>98</v>
      </c>
      <c r="B102" s="4">
        <v>811538</v>
      </c>
      <c r="C102" s="34" t="s">
        <v>221</v>
      </c>
      <c r="D102" s="4" t="s">
        <v>222</v>
      </c>
      <c r="E102" s="4" t="s">
        <v>33</v>
      </c>
      <c r="F102" s="115">
        <f>(55+40+32+53+48+60+41+36+26+28+18+12)/600*100</f>
        <v>74.833333333333329</v>
      </c>
      <c r="G102" s="4" t="s">
        <v>34</v>
      </c>
      <c r="H102" s="4">
        <v>1205005109</v>
      </c>
      <c r="I102" s="4">
        <v>114</v>
      </c>
      <c r="J102" s="4" t="s">
        <v>220</v>
      </c>
      <c r="K102" s="4" t="s">
        <v>34</v>
      </c>
      <c r="L102" s="4" t="s">
        <v>246</v>
      </c>
    </row>
    <row r="103" spans="1:12" ht="31.5" x14ac:dyDescent="0.25">
      <c r="A103" s="4">
        <v>99</v>
      </c>
      <c r="B103" s="4">
        <v>867284</v>
      </c>
      <c r="C103" s="34" t="s">
        <v>239</v>
      </c>
      <c r="D103" s="4" t="s">
        <v>240</v>
      </c>
      <c r="E103" s="4" t="s">
        <v>50</v>
      </c>
      <c r="F103" s="115">
        <f>(54+55+49+26+49+51+50+26+90+29)/6</f>
        <v>79.833333333333329</v>
      </c>
      <c r="G103" s="4" t="s">
        <v>34</v>
      </c>
      <c r="H103" s="4">
        <v>1206009227</v>
      </c>
      <c r="I103" s="4">
        <v>102</v>
      </c>
      <c r="J103" s="4" t="s">
        <v>220</v>
      </c>
      <c r="K103" s="4" t="s">
        <v>34</v>
      </c>
      <c r="L103" s="4" t="s">
        <v>246</v>
      </c>
    </row>
    <row r="104" spans="1:12" ht="15.75" x14ac:dyDescent="0.25">
      <c r="A104" s="4">
        <v>100</v>
      </c>
      <c r="B104" s="4">
        <v>917410</v>
      </c>
      <c r="C104" s="34" t="s">
        <v>237</v>
      </c>
      <c r="D104" s="4" t="s">
        <v>238</v>
      </c>
      <c r="E104" s="4" t="s">
        <v>37</v>
      </c>
      <c r="F104" s="115">
        <f>(42+45+23+28+27+35+29+90)/6</f>
        <v>53.166666666666664</v>
      </c>
      <c r="G104" s="4" t="s">
        <v>34</v>
      </c>
      <c r="H104" s="4">
        <v>1206019137</v>
      </c>
      <c r="I104" s="4">
        <v>93</v>
      </c>
      <c r="J104" s="4" t="s">
        <v>220</v>
      </c>
      <c r="K104" s="4" t="s">
        <v>34</v>
      </c>
      <c r="L104" s="4" t="s">
        <v>246</v>
      </c>
    </row>
    <row r="105" spans="1:12" ht="18.75" x14ac:dyDescent="0.3">
      <c r="B105" s="120" t="s">
        <v>1377</v>
      </c>
      <c r="C105" s="120"/>
      <c r="D105" s="120"/>
      <c r="E105" s="120"/>
      <c r="F105" s="120"/>
      <c r="G105" s="120"/>
      <c r="H105" s="120"/>
      <c r="I105" s="120"/>
      <c r="J105" s="120"/>
      <c r="K105" s="120"/>
      <c r="L105" s="120"/>
    </row>
  </sheetData>
  <mergeCells count="3">
    <mergeCell ref="A1:L1"/>
    <mergeCell ref="A2:L2"/>
    <mergeCell ref="B105:L105"/>
  </mergeCells>
  <pageMargins left="0.31496062992125984" right="0.23622047244094491" top="0.47244094488188981" bottom="0.27559055118110237" header="0.19685039370078741" footer="0.19685039370078741"/>
  <pageSetup paperSize="9" scale="96" fitToHeight="0" orientation="landscape" r:id="rId1"/>
  <headerFooter>
    <oddFooter>Page &amp;P of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154"/>
  <sheetViews>
    <sheetView topLeftCell="A102" zoomScale="55" zoomScaleNormal="55" workbookViewId="0">
      <selection activeCell="P120" sqref="P120"/>
    </sheetView>
  </sheetViews>
  <sheetFormatPr defaultRowHeight="15" x14ac:dyDescent="0.25"/>
  <cols>
    <col min="1" max="1" width="4.5703125" style="58" customWidth="1"/>
    <col min="2" max="2" width="34.42578125" style="58" customWidth="1"/>
    <col min="3" max="3" width="11.5703125" style="58" customWidth="1"/>
    <col min="4" max="4" width="27.7109375" style="58" customWidth="1"/>
    <col min="5" max="5" width="6.42578125" style="58" customWidth="1"/>
    <col min="6" max="6" width="13.7109375" style="58" customWidth="1"/>
    <col min="7" max="7" width="13" style="58" customWidth="1"/>
    <col min="8" max="8" width="11.42578125" style="58" customWidth="1"/>
    <col min="9" max="9" width="8.5703125" style="58" customWidth="1"/>
    <col min="10" max="11" width="7.28515625" style="58" customWidth="1"/>
    <col min="12" max="12" width="11.85546875" style="58" customWidth="1"/>
    <col min="13" max="13" width="8.7109375" style="58" customWidth="1"/>
    <col min="14" max="14" width="14.42578125" style="58" bestFit="1" customWidth="1"/>
    <col min="15" max="15" width="16.140625" style="58" bestFit="1" customWidth="1"/>
    <col min="16" max="17" width="9.28515625" style="58" bestFit="1" customWidth="1"/>
    <col min="18" max="18" width="10.28515625" style="58" bestFit="1" customWidth="1"/>
    <col min="19" max="16384" width="9.140625" style="58"/>
  </cols>
  <sheetData>
    <row r="1" spans="1:18" ht="18.75" x14ac:dyDescent="0.3">
      <c r="A1" s="118" t="s">
        <v>0</v>
      </c>
      <c r="B1" s="118"/>
      <c r="C1" s="118"/>
      <c r="D1" s="118"/>
      <c r="E1" s="118"/>
      <c r="F1" s="118"/>
      <c r="G1" s="118"/>
      <c r="H1" s="118"/>
      <c r="I1" s="118"/>
      <c r="J1" s="118"/>
      <c r="K1" s="118"/>
      <c r="L1" s="118"/>
      <c r="M1" s="118"/>
      <c r="N1" s="99"/>
      <c r="O1" s="99"/>
      <c r="P1" s="99"/>
      <c r="Q1" s="99"/>
      <c r="R1" s="99"/>
    </row>
    <row r="2" spans="1:18" ht="24" customHeight="1" x14ac:dyDescent="0.25">
      <c r="A2" s="119" t="s">
        <v>318</v>
      </c>
      <c r="B2" s="119"/>
      <c r="C2" s="119"/>
      <c r="D2" s="119"/>
      <c r="E2" s="119"/>
      <c r="F2" s="119"/>
      <c r="G2" s="119"/>
      <c r="H2" s="119"/>
      <c r="I2" s="119"/>
      <c r="J2" s="119"/>
      <c r="K2" s="119"/>
      <c r="L2" s="119"/>
      <c r="M2" s="119"/>
      <c r="N2" s="99"/>
      <c r="O2" s="99"/>
      <c r="P2" s="99"/>
      <c r="Q2" s="99"/>
      <c r="R2" s="99"/>
    </row>
    <row r="3" spans="1:18" ht="180.75" customHeight="1" x14ac:dyDescent="0.25">
      <c r="A3" s="4" t="s">
        <v>1</v>
      </c>
      <c r="B3" s="4" t="s">
        <v>2</v>
      </c>
      <c r="C3" s="4" t="s">
        <v>7</v>
      </c>
      <c r="D3" s="4" t="s">
        <v>319</v>
      </c>
      <c r="E3" s="22" t="s">
        <v>4</v>
      </c>
      <c r="F3" s="22" t="s">
        <v>5</v>
      </c>
      <c r="G3" s="22" t="s">
        <v>6</v>
      </c>
      <c r="H3" s="22" t="s">
        <v>3</v>
      </c>
      <c r="I3" s="22" t="s">
        <v>107</v>
      </c>
      <c r="J3" s="22" t="s">
        <v>135</v>
      </c>
      <c r="K3" s="22" t="s">
        <v>320</v>
      </c>
      <c r="L3" s="22" t="s">
        <v>8</v>
      </c>
      <c r="M3" s="22" t="s">
        <v>321</v>
      </c>
      <c r="N3" s="4" t="s">
        <v>322</v>
      </c>
      <c r="O3" s="22" t="s">
        <v>320</v>
      </c>
      <c r="P3" s="22" t="s">
        <v>323</v>
      </c>
      <c r="Q3" s="22" t="s">
        <v>324</v>
      </c>
      <c r="R3" s="22" t="s">
        <v>325</v>
      </c>
    </row>
    <row r="4" spans="1:18" ht="15.75" x14ac:dyDescent="0.25">
      <c r="A4" s="47">
        <v>1</v>
      </c>
      <c r="B4" s="47">
        <v>2</v>
      </c>
      <c r="C4" s="47">
        <v>3</v>
      </c>
      <c r="D4" s="47">
        <v>4</v>
      </c>
      <c r="E4" s="47">
        <v>5</v>
      </c>
      <c r="F4" s="47">
        <v>6</v>
      </c>
      <c r="G4" s="47">
        <v>7</v>
      </c>
      <c r="H4" s="47">
        <v>8</v>
      </c>
      <c r="I4" s="47">
        <v>9</v>
      </c>
      <c r="J4" s="47">
        <v>10</v>
      </c>
      <c r="K4" s="47">
        <v>11</v>
      </c>
      <c r="L4" s="47">
        <v>12</v>
      </c>
      <c r="M4" s="47">
        <v>13</v>
      </c>
      <c r="N4" s="59">
        <v>14</v>
      </c>
      <c r="O4" s="59">
        <v>15</v>
      </c>
      <c r="P4" s="60">
        <v>16</v>
      </c>
      <c r="Q4" s="60">
        <v>17</v>
      </c>
      <c r="R4" s="60">
        <v>18</v>
      </c>
    </row>
    <row r="5" spans="1:18" ht="45" x14ac:dyDescent="0.25">
      <c r="A5" s="4">
        <v>1</v>
      </c>
      <c r="B5" s="33" t="s">
        <v>326</v>
      </c>
      <c r="C5" s="4">
        <v>120511351</v>
      </c>
      <c r="D5" s="4" t="s">
        <v>327</v>
      </c>
      <c r="E5" s="4" t="s">
        <v>39</v>
      </c>
      <c r="F5" s="61">
        <f>559/6</f>
        <v>93.166666666666671</v>
      </c>
      <c r="G5" s="4" t="s">
        <v>328</v>
      </c>
      <c r="H5" s="4" t="s">
        <v>329</v>
      </c>
      <c r="I5" s="4">
        <v>52274</v>
      </c>
      <c r="J5" s="4">
        <v>495</v>
      </c>
      <c r="K5" s="4">
        <v>96.26</v>
      </c>
      <c r="L5" s="4" t="s">
        <v>330</v>
      </c>
      <c r="M5" s="4" t="s">
        <v>328</v>
      </c>
      <c r="N5" s="116" t="s">
        <v>331</v>
      </c>
      <c r="O5" s="4">
        <f>J5*100/701</f>
        <v>70.613409415121254</v>
      </c>
      <c r="P5" s="25">
        <v>80.28</v>
      </c>
      <c r="Q5" s="25">
        <f>K5-P5</f>
        <v>15.980000000000004</v>
      </c>
      <c r="R5" s="25">
        <f>Q5*Q5</f>
        <v>255.36040000000014</v>
      </c>
    </row>
    <row r="6" spans="1:18" ht="31.5" x14ac:dyDescent="0.25">
      <c r="A6" s="4">
        <v>2</v>
      </c>
      <c r="B6" s="33" t="s">
        <v>332</v>
      </c>
      <c r="C6" s="4">
        <v>120610363</v>
      </c>
      <c r="D6" s="4" t="s">
        <v>333</v>
      </c>
      <c r="E6" s="4" t="s">
        <v>33</v>
      </c>
      <c r="F6" s="61">
        <v>100</v>
      </c>
      <c r="G6" s="4" t="s">
        <v>328</v>
      </c>
      <c r="H6" s="4" t="s">
        <v>334</v>
      </c>
      <c r="I6" s="4">
        <v>60819</v>
      </c>
      <c r="J6" s="4">
        <v>481</v>
      </c>
      <c r="K6" s="4">
        <v>95.64</v>
      </c>
      <c r="L6" s="4" t="s">
        <v>335</v>
      </c>
      <c r="M6" s="4" t="s">
        <v>328</v>
      </c>
      <c r="N6" s="63" t="s">
        <v>336</v>
      </c>
      <c r="O6" s="4">
        <f t="shared" ref="O6:O69" si="0">J6*100/701</f>
        <v>68.616262482168338</v>
      </c>
      <c r="P6" s="25">
        <v>80.28</v>
      </c>
      <c r="Q6" s="25">
        <f t="shared" ref="Q6:Q69" si="1">K6-P6</f>
        <v>15.36</v>
      </c>
      <c r="R6" s="25">
        <f t="shared" ref="R6:R69" si="2">Q6*Q6</f>
        <v>235.92959999999999</v>
      </c>
    </row>
    <row r="7" spans="1:18" ht="15.75" x14ac:dyDescent="0.25">
      <c r="A7" s="4">
        <v>3</v>
      </c>
      <c r="B7" s="33" t="s">
        <v>337</v>
      </c>
      <c r="C7" s="4">
        <v>120609024</v>
      </c>
      <c r="D7" s="4" t="s">
        <v>338</v>
      </c>
      <c r="E7" s="4" t="s">
        <v>33</v>
      </c>
      <c r="F7" s="64">
        <f>(120+118+57+60+59+57+29+90)/6</f>
        <v>98.333333333333329</v>
      </c>
      <c r="G7" s="4" t="s">
        <v>328</v>
      </c>
      <c r="H7" s="4" t="s">
        <v>339</v>
      </c>
      <c r="I7" s="4">
        <v>60832</v>
      </c>
      <c r="J7" s="4">
        <v>481</v>
      </c>
      <c r="K7" s="4">
        <v>95.64</v>
      </c>
      <c r="L7" s="35" t="s">
        <v>340</v>
      </c>
      <c r="M7" s="4" t="s">
        <v>328</v>
      </c>
      <c r="N7" s="63">
        <v>9848117015</v>
      </c>
      <c r="O7" s="4">
        <f t="shared" si="0"/>
        <v>68.616262482168338</v>
      </c>
      <c r="P7" s="25">
        <v>80.28</v>
      </c>
      <c r="Q7" s="25">
        <f t="shared" si="1"/>
        <v>15.36</v>
      </c>
      <c r="R7" s="25">
        <f t="shared" si="2"/>
        <v>235.92959999999999</v>
      </c>
    </row>
    <row r="8" spans="1:18" ht="31.5" x14ac:dyDescent="0.25">
      <c r="A8" s="4">
        <v>4</v>
      </c>
      <c r="B8" s="33" t="s">
        <v>341</v>
      </c>
      <c r="C8" s="4">
        <v>120603125</v>
      </c>
      <c r="D8" s="4" t="s">
        <v>342</v>
      </c>
      <c r="E8" s="4" t="s">
        <v>33</v>
      </c>
      <c r="F8" s="61">
        <f>(60+59+57+58+59+58+60+54+30+30+30+30)/6</f>
        <v>97.5</v>
      </c>
      <c r="G8" s="4" t="s">
        <v>328</v>
      </c>
      <c r="H8" s="4" t="s">
        <v>343</v>
      </c>
      <c r="I8" s="4">
        <v>61213</v>
      </c>
      <c r="J8" s="4">
        <v>481</v>
      </c>
      <c r="K8" s="4">
        <v>95.64</v>
      </c>
      <c r="L8" s="35" t="s">
        <v>344</v>
      </c>
      <c r="M8" s="4" t="s">
        <v>328</v>
      </c>
      <c r="N8" s="63" t="s">
        <v>345</v>
      </c>
      <c r="O8" s="4">
        <f t="shared" si="0"/>
        <v>68.616262482168338</v>
      </c>
      <c r="P8" s="25">
        <v>80.28</v>
      </c>
      <c r="Q8" s="25">
        <f t="shared" si="1"/>
        <v>15.36</v>
      </c>
      <c r="R8" s="25">
        <f t="shared" si="2"/>
        <v>235.92959999999999</v>
      </c>
    </row>
    <row r="9" spans="1:18" ht="45" x14ac:dyDescent="0.25">
      <c r="A9" s="4">
        <v>5</v>
      </c>
      <c r="B9" s="33" t="s">
        <v>346</v>
      </c>
      <c r="C9" s="4">
        <v>120515407</v>
      </c>
      <c r="D9" s="4" t="s">
        <v>347</v>
      </c>
      <c r="E9" s="4" t="s">
        <v>33</v>
      </c>
      <c r="F9" s="61">
        <f>588/6</f>
        <v>98</v>
      </c>
      <c r="G9" s="4" t="s">
        <v>328</v>
      </c>
      <c r="H9" s="4" t="s">
        <v>348</v>
      </c>
      <c r="I9" s="4">
        <v>62376</v>
      </c>
      <c r="J9" s="4">
        <v>479</v>
      </c>
      <c r="K9" s="4">
        <v>95.54</v>
      </c>
      <c r="L9" s="4" t="s">
        <v>349</v>
      </c>
      <c r="M9" s="4" t="s">
        <v>328</v>
      </c>
      <c r="N9" s="116" t="s">
        <v>350</v>
      </c>
      <c r="O9" s="4">
        <f t="shared" si="0"/>
        <v>68.330955777460773</v>
      </c>
      <c r="P9" s="25">
        <v>80.28</v>
      </c>
      <c r="Q9" s="25">
        <f t="shared" si="1"/>
        <v>15.260000000000005</v>
      </c>
      <c r="R9" s="25">
        <f t="shared" si="2"/>
        <v>232.86760000000015</v>
      </c>
    </row>
    <row r="10" spans="1:18" ht="45" x14ac:dyDescent="0.25">
      <c r="A10" s="4">
        <v>6</v>
      </c>
      <c r="B10" s="33" t="s">
        <v>351</v>
      </c>
      <c r="C10" s="4">
        <v>120602742</v>
      </c>
      <c r="D10" s="4" t="s">
        <v>352</v>
      </c>
      <c r="E10" s="4" t="s">
        <v>33</v>
      </c>
      <c r="F10" s="61">
        <f>548/6</f>
        <v>91.333333333333329</v>
      </c>
      <c r="G10" s="4" t="s">
        <v>328</v>
      </c>
      <c r="H10" s="4" t="s">
        <v>353</v>
      </c>
      <c r="I10" s="4">
        <v>63423</v>
      </c>
      <c r="J10" s="4">
        <v>478</v>
      </c>
      <c r="K10" s="4">
        <v>95.5</v>
      </c>
      <c r="L10" s="4" t="s">
        <v>354</v>
      </c>
      <c r="M10" s="4" t="s">
        <v>328</v>
      </c>
      <c r="N10" s="116" t="s">
        <v>355</v>
      </c>
      <c r="O10" s="4">
        <f t="shared" si="0"/>
        <v>68.188302425106997</v>
      </c>
      <c r="P10" s="25">
        <v>80.28</v>
      </c>
      <c r="Q10" s="25">
        <f t="shared" si="1"/>
        <v>15.219999999999999</v>
      </c>
      <c r="R10" s="25">
        <f t="shared" si="2"/>
        <v>231.64839999999995</v>
      </c>
    </row>
    <row r="11" spans="1:18" ht="47.25" x14ac:dyDescent="0.25">
      <c r="A11" s="4">
        <v>7</v>
      </c>
      <c r="B11" s="33" t="s">
        <v>356</v>
      </c>
      <c r="C11" s="4">
        <v>120511483</v>
      </c>
      <c r="D11" s="4" t="s">
        <v>357</v>
      </c>
      <c r="E11" s="4" t="s">
        <v>33</v>
      </c>
      <c r="F11" s="61">
        <f>(180+59+59+60+58+57+28+90)/6</f>
        <v>98.5</v>
      </c>
      <c r="G11" s="4" t="s">
        <v>328</v>
      </c>
      <c r="H11" s="4" t="s">
        <v>358</v>
      </c>
      <c r="I11" s="4">
        <v>63454</v>
      </c>
      <c r="J11" s="4">
        <v>477</v>
      </c>
      <c r="K11" s="4">
        <v>95.45</v>
      </c>
      <c r="L11" s="4" t="s">
        <v>335</v>
      </c>
      <c r="M11" s="4" t="s">
        <v>328</v>
      </c>
      <c r="N11" s="63" t="s">
        <v>359</v>
      </c>
      <c r="O11" s="4">
        <f t="shared" si="0"/>
        <v>68.045649072753207</v>
      </c>
      <c r="P11" s="25">
        <v>80.28</v>
      </c>
      <c r="Q11" s="25">
        <f t="shared" si="1"/>
        <v>15.170000000000002</v>
      </c>
      <c r="R11" s="25">
        <f t="shared" si="2"/>
        <v>230.12890000000004</v>
      </c>
    </row>
    <row r="12" spans="1:18" ht="31.5" x14ac:dyDescent="0.25">
      <c r="A12" s="4">
        <v>8</v>
      </c>
      <c r="B12" s="33" t="s">
        <v>360</v>
      </c>
      <c r="C12" s="4">
        <v>120609584</v>
      </c>
      <c r="D12" s="4" t="s">
        <v>361</v>
      </c>
      <c r="E12" s="4" t="s">
        <v>33</v>
      </c>
      <c r="F12" s="61">
        <f>(60+58+58+55+59+59+45+57+27+29+28+29)/6</f>
        <v>94</v>
      </c>
      <c r="G12" s="4" t="s">
        <v>328</v>
      </c>
      <c r="H12" s="4" t="s">
        <v>362</v>
      </c>
      <c r="I12" s="4">
        <v>68675</v>
      </c>
      <c r="J12" s="4">
        <v>470</v>
      </c>
      <c r="K12" s="4">
        <v>95.11</v>
      </c>
      <c r="L12" s="35" t="s">
        <v>363</v>
      </c>
      <c r="M12" s="4" t="s">
        <v>328</v>
      </c>
      <c r="N12" s="63" t="s">
        <v>364</v>
      </c>
      <c r="O12" s="4">
        <f t="shared" si="0"/>
        <v>67.047075606276749</v>
      </c>
      <c r="P12" s="25">
        <v>80.28</v>
      </c>
      <c r="Q12" s="25">
        <f t="shared" si="1"/>
        <v>14.829999999999998</v>
      </c>
      <c r="R12" s="25">
        <f t="shared" si="2"/>
        <v>219.92889999999994</v>
      </c>
    </row>
    <row r="13" spans="1:18" ht="31.5" x14ac:dyDescent="0.25">
      <c r="A13" s="4">
        <v>9</v>
      </c>
      <c r="B13" s="33" t="s">
        <v>365</v>
      </c>
      <c r="C13" s="4">
        <v>120608920</v>
      </c>
      <c r="D13" s="4" t="s">
        <v>366</v>
      </c>
      <c r="E13" s="4" t="s">
        <v>33</v>
      </c>
      <c r="F13" s="64">
        <f>(60+59+60+55+60+59+58+60+90+25)/6</f>
        <v>97.666666666666671</v>
      </c>
      <c r="G13" s="4" t="s">
        <v>328</v>
      </c>
      <c r="H13" s="4" t="s">
        <v>367</v>
      </c>
      <c r="I13" s="4">
        <v>69950</v>
      </c>
      <c r="J13" s="4">
        <v>468</v>
      </c>
      <c r="K13" s="4">
        <v>95.01</v>
      </c>
      <c r="L13" s="35" t="s">
        <v>368</v>
      </c>
      <c r="M13" s="4" t="s">
        <v>328</v>
      </c>
      <c r="N13" s="63" t="s">
        <v>369</v>
      </c>
      <c r="O13" s="4">
        <f t="shared" si="0"/>
        <v>66.761768901569184</v>
      </c>
      <c r="P13" s="25">
        <v>80.28</v>
      </c>
      <c r="Q13" s="25">
        <f t="shared" si="1"/>
        <v>14.730000000000004</v>
      </c>
      <c r="R13" s="25">
        <f t="shared" si="2"/>
        <v>216.97290000000012</v>
      </c>
    </row>
    <row r="14" spans="1:18" ht="31.5" x14ac:dyDescent="0.25">
      <c r="A14" s="4">
        <v>10</v>
      </c>
      <c r="B14" s="33" t="s">
        <v>370</v>
      </c>
      <c r="C14" s="4">
        <v>120509406</v>
      </c>
      <c r="D14" s="4" t="s">
        <v>371</v>
      </c>
      <c r="E14" s="4" t="s">
        <v>33</v>
      </c>
      <c r="F14" s="61">
        <f>(60+60+29+60+59+30+59+60+30+60+60+30)/6</f>
        <v>99.5</v>
      </c>
      <c r="G14" s="4" t="s">
        <v>328</v>
      </c>
      <c r="H14" s="4" t="s">
        <v>372</v>
      </c>
      <c r="I14" s="4">
        <v>72119</v>
      </c>
      <c r="J14" s="4">
        <v>465</v>
      </c>
      <c r="K14" s="4">
        <v>94.85</v>
      </c>
      <c r="L14" s="35" t="s">
        <v>363</v>
      </c>
      <c r="M14" s="4" t="s">
        <v>328</v>
      </c>
      <c r="N14" s="63" t="s">
        <v>373</v>
      </c>
      <c r="O14" s="4">
        <f t="shared" si="0"/>
        <v>66.333808844507843</v>
      </c>
      <c r="P14" s="25">
        <v>80.28</v>
      </c>
      <c r="Q14" s="25">
        <f t="shared" si="1"/>
        <v>14.569999999999993</v>
      </c>
      <c r="R14" s="25">
        <f t="shared" si="2"/>
        <v>212.28489999999979</v>
      </c>
    </row>
    <row r="15" spans="1:18" ht="31.5" x14ac:dyDescent="0.25">
      <c r="A15" s="4">
        <v>11</v>
      </c>
      <c r="B15" s="33" t="s">
        <v>374</v>
      </c>
      <c r="C15" s="4">
        <v>120507649</v>
      </c>
      <c r="D15" s="4" t="s">
        <v>375</v>
      </c>
      <c r="E15" s="4" t="s">
        <v>43</v>
      </c>
      <c r="F15" s="61">
        <f>582/6</f>
        <v>97</v>
      </c>
      <c r="G15" s="4" t="s">
        <v>328</v>
      </c>
      <c r="H15" s="4" t="s">
        <v>49</v>
      </c>
      <c r="I15" s="4">
        <v>74248</v>
      </c>
      <c r="J15" s="4">
        <v>462</v>
      </c>
      <c r="K15" s="4">
        <v>94.69</v>
      </c>
      <c r="L15" s="35" t="s">
        <v>354</v>
      </c>
      <c r="M15" s="4" t="s">
        <v>328</v>
      </c>
      <c r="N15" s="116">
        <v>9848193948</v>
      </c>
      <c r="O15" s="4">
        <f t="shared" si="0"/>
        <v>65.905848787446502</v>
      </c>
      <c r="P15" s="25">
        <v>80.28</v>
      </c>
      <c r="Q15" s="25">
        <f t="shared" si="1"/>
        <v>14.409999999999997</v>
      </c>
      <c r="R15" s="25">
        <f t="shared" si="2"/>
        <v>207.64809999999991</v>
      </c>
    </row>
    <row r="16" spans="1:18" ht="47.25" x14ac:dyDescent="0.25">
      <c r="A16" s="4">
        <v>12</v>
      </c>
      <c r="B16" s="33" t="s">
        <v>376</v>
      </c>
      <c r="C16" s="4">
        <v>120603958</v>
      </c>
      <c r="D16" s="4" t="s">
        <v>377</v>
      </c>
      <c r="E16" s="35" t="s">
        <v>61</v>
      </c>
      <c r="F16" s="64">
        <f>(60+58+57+59+53+55+57+45+120)/6</f>
        <v>94</v>
      </c>
      <c r="G16" s="4" t="s">
        <v>328</v>
      </c>
      <c r="H16" s="4" t="s">
        <v>378</v>
      </c>
      <c r="I16" s="4">
        <v>74901</v>
      </c>
      <c r="J16" s="4">
        <v>461</v>
      </c>
      <c r="K16" s="4">
        <v>94.64</v>
      </c>
      <c r="L16" s="4" t="s">
        <v>363</v>
      </c>
      <c r="M16" s="4" t="s">
        <v>328</v>
      </c>
      <c r="N16" s="63" t="s">
        <v>379</v>
      </c>
      <c r="O16" s="4">
        <f t="shared" si="0"/>
        <v>65.763195435092726</v>
      </c>
      <c r="P16" s="25">
        <v>80.28</v>
      </c>
      <c r="Q16" s="25">
        <f t="shared" si="1"/>
        <v>14.36</v>
      </c>
      <c r="R16" s="25">
        <f t="shared" si="2"/>
        <v>206.20959999999999</v>
      </c>
    </row>
    <row r="17" spans="1:18" ht="47.25" x14ac:dyDescent="0.25">
      <c r="A17" s="4">
        <v>13</v>
      </c>
      <c r="B17" s="33" t="s">
        <v>380</v>
      </c>
      <c r="C17" s="4">
        <v>120605987</v>
      </c>
      <c r="D17" s="4" t="s">
        <v>381</v>
      </c>
      <c r="E17" s="35" t="s">
        <v>382</v>
      </c>
      <c r="F17" s="64">
        <f>(93+93+93)/300*100</f>
        <v>93</v>
      </c>
      <c r="G17" s="4" t="s">
        <v>328</v>
      </c>
      <c r="H17" s="4" t="s">
        <v>383</v>
      </c>
      <c r="I17" s="4">
        <v>79221</v>
      </c>
      <c r="J17" s="4">
        <v>456</v>
      </c>
      <c r="K17" s="4">
        <v>94.37</v>
      </c>
      <c r="L17" s="4" t="s">
        <v>349</v>
      </c>
      <c r="M17" s="4" t="s">
        <v>328</v>
      </c>
      <c r="N17" s="63" t="s">
        <v>384</v>
      </c>
      <c r="O17" s="4">
        <f t="shared" si="0"/>
        <v>65.049928673323819</v>
      </c>
      <c r="P17" s="25">
        <v>80.28</v>
      </c>
      <c r="Q17" s="25">
        <f t="shared" si="1"/>
        <v>14.090000000000003</v>
      </c>
      <c r="R17" s="25">
        <f t="shared" si="2"/>
        <v>198.52810000000011</v>
      </c>
    </row>
    <row r="18" spans="1:18" ht="31.5" x14ac:dyDescent="0.25">
      <c r="A18" s="4">
        <v>14</v>
      </c>
      <c r="B18" s="33" t="s">
        <v>385</v>
      </c>
      <c r="C18" s="4">
        <v>120514599</v>
      </c>
      <c r="D18" s="4" t="s">
        <v>386</v>
      </c>
      <c r="E18" s="35" t="s">
        <v>43</v>
      </c>
      <c r="F18" s="64">
        <f>577/6</f>
        <v>96.166666666666671</v>
      </c>
      <c r="G18" s="4" t="s">
        <v>328</v>
      </c>
      <c r="H18" s="4" t="s">
        <v>387</v>
      </c>
      <c r="I18" s="4">
        <v>79526</v>
      </c>
      <c r="J18" s="4">
        <v>455</v>
      </c>
      <c r="K18" s="4">
        <v>94.31</v>
      </c>
      <c r="L18" s="4" t="s">
        <v>388</v>
      </c>
      <c r="M18" s="4" t="s">
        <v>328</v>
      </c>
      <c r="N18" s="63" t="s">
        <v>389</v>
      </c>
      <c r="O18" s="4">
        <f t="shared" si="0"/>
        <v>64.907275320970044</v>
      </c>
      <c r="P18" s="25">
        <v>80.28</v>
      </c>
      <c r="Q18" s="25">
        <f t="shared" si="1"/>
        <v>14.030000000000001</v>
      </c>
      <c r="R18" s="25">
        <f t="shared" si="2"/>
        <v>196.84090000000003</v>
      </c>
    </row>
    <row r="19" spans="1:18" ht="30" x14ac:dyDescent="0.25">
      <c r="A19" s="4">
        <v>15</v>
      </c>
      <c r="B19" s="33" t="s">
        <v>390</v>
      </c>
      <c r="C19" s="4">
        <v>120612164</v>
      </c>
      <c r="D19" s="4" t="s">
        <v>391</v>
      </c>
      <c r="E19" s="35" t="s">
        <v>33</v>
      </c>
      <c r="F19" s="61">
        <f>(60+55+57+56+56+59+56+53+30+28+29+30)/6</f>
        <v>94.833333333333329</v>
      </c>
      <c r="G19" s="4" t="s">
        <v>328</v>
      </c>
      <c r="H19" s="4" t="s">
        <v>392</v>
      </c>
      <c r="I19" s="4">
        <v>80644</v>
      </c>
      <c r="J19" s="4">
        <v>454</v>
      </c>
      <c r="K19" s="4">
        <v>94.26</v>
      </c>
      <c r="L19" s="4" t="s">
        <v>349</v>
      </c>
      <c r="M19" s="4" t="s">
        <v>328</v>
      </c>
      <c r="N19" s="116" t="s">
        <v>393</v>
      </c>
      <c r="O19" s="4">
        <f t="shared" si="0"/>
        <v>64.764621968616268</v>
      </c>
      <c r="P19" s="25">
        <v>80.28</v>
      </c>
      <c r="Q19" s="25">
        <f t="shared" si="1"/>
        <v>13.980000000000004</v>
      </c>
      <c r="R19" s="25">
        <f t="shared" si="2"/>
        <v>195.44040000000012</v>
      </c>
    </row>
    <row r="20" spans="1:18" ht="47.25" x14ac:dyDescent="0.25">
      <c r="A20" s="4">
        <v>16</v>
      </c>
      <c r="B20" s="33" t="s">
        <v>394</v>
      </c>
      <c r="C20" s="4">
        <v>120607441</v>
      </c>
      <c r="D20" s="4" t="s">
        <v>395</v>
      </c>
      <c r="E20" s="4" t="s">
        <v>39</v>
      </c>
      <c r="F20" s="61">
        <f>(59+60+60+58+59+60+57+60+29+30+20+28)/6</f>
        <v>96.666666666666671</v>
      </c>
      <c r="G20" s="4" t="s">
        <v>328</v>
      </c>
      <c r="H20" s="4" t="s">
        <v>396</v>
      </c>
      <c r="I20" s="4">
        <v>86834</v>
      </c>
      <c r="J20" s="4">
        <v>446</v>
      </c>
      <c r="K20" s="4">
        <v>93.81</v>
      </c>
      <c r="L20" s="4" t="s">
        <v>397</v>
      </c>
      <c r="M20" s="4" t="s">
        <v>328</v>
      </c>
      <c r="N20" s="63" t="s">
        <v>398</v>
      </c>
      <c r="O20" s="4">
        <f t="shared" si="0"/>
        <v>63.62339514978602</v>
      </c>
      <c r="P20" s="25">
        <v>80.28</v>
      </c>
      <c r="Q20" s="25">
        <f t="shared" si="1"/>
        <v>13.530000000000001</v>
      </c>
      <c r="R20" s="25">
        <f t="shared" si="2"/>
        <v>183.06090000000003</v>
      </c>
    </row>
    <row r="21" spans="1:18" ht="31.5" x14ac:dyDescent="0.25">
      <c r="A21" s="4">
        <v>17</v>
      </c>
      <c r="B21" s="33" t="s">
        <v>399</v>
      </c>
      <c r="C21" s="4">
        <v>120604427</v>
      </c>
      <c r="D21" s="4" t="s">
        <v>338</v>
      </c>
      <c r="E21" s="4" t="s">
        <v>39</v>
      </c>
      <c r="F21" s="64">
        <f>(120+59+55+55+52+58+60+28+30+26+23)/6</f>
        <v>94.333333333333329</v>
      </c>
      <c r="G21" s="4" t="s">
        <v>328</v>
      </c>
      <c r="H21" s="4" t="s">
        <v>400</v>
      </c>
      <c r="I21" s="4">
        <v>88079</v>
      </c>
      <c r="J21" s="4">
        <v>444</v>
      </c>
      <c r="K21" s="4">
        <v>93.7</v>
      </c>
      <c r="L21" s="35" t="s">
        <v>397</v>
      </c>
      <c r="M21" s="4" t="s">
        <v>328</v>
      </c>
      <c r="N21" s="63" t="s">
        <v>401</v>
      </c>
      <c r="O21" s="4">
        <f t="shared" si="0"/>
        <v>63.338088445078462</v>
      </c>
      <c r="P21" s="25">
        <v>80.28</v>
      </c>
      <c r="Q21" s="25">
        <f t="shared" si="1"/>
        <v>13.420000000000002</v>
      </c>
      <c r="R21" s="25">
        <f t="shared" si="2"/>
        <v>180.09640000000005</v>
      </c>
    </row>
    <row r="22" spans="1:18" ht="31.5" x14ac:dyDescent="0.25">
      <c r="A22" s="4">
        <v>18</v>
      </c>
      <c r="B22" s="33" t="s">
        <v>402</v>
      </c>
      <c r="C22" s="4">
        <v>120611214</v>
      </c>
      <c r="D22" s="4" t="s">
        <v>403</v>
      </c>
      <c r="E22" s="4" t="s">
        <v>39</v>
      </c>
      <c r="F22" s="61">
        <f>(59+60+57+49+57+60+55+58+30+30+28+30)/6</f>
        <v>95.5</v>
      </c>
      <c r="G22" s="4" t="s">
        <v>328</v>
      </c>
      <c r="H22" s="4" t="s">
        <v>404</v>
      </c>
      <c r="I22" s="4">
        <v>89282</v>
      </c>
      <c r="J22" s="4">
        <v>443</v>
      </c>
      <c r="K22" s="4">
        <v>93.64</v>
      </c>
      <c r="L22" s="35" t="s">
        <v>340</v>
      </c>
      <c r="M22" s="4" t="s">
        <v>328</v>
      </c>
      <c r="N22" s="63" t="s">
        <v>405</v>
      </c>
      <c r="O22" s="4">
        <f t="shared" si="0"/>
        <v>63.195435092724679</v>
      </c>
      <c r="P22" s="25">
        <v>80.28</v>
      </c>
      <c r="Q22" s="25">
        <f t="shared" si="1"/>
        <v>13.36</v>
      </c>
      <c r="R22" s="25">
        <f t="shared" si="2"/>
        <v>178.4896</v>
      </c>
    </row>
    <row r="23" spans="1:18" ht="47.25" x14ac:dyDescent="0.25">
      <c r="A23" s="4">
        <v>19</v>
      </c>
      <c r="B23" s="33" t="s">
        <v>406</v>
      </c>
      <c r="C23" s="4">
        <v>120506904</v>
      </c>
      <c r="D23" s="4" t="s">
        <v>407</v>
      </c>
      <c r="E23" s="4" t="s">
        <v>39</v>
      </c>
      <c r="F23" s="64">
        <f>(60+60+60+59+58+60+60+59+29+30+30+30)/6</f>
        <v>99.166666666666671</v>
      </c>
      <c r="G23" s="4" t="s">
        <v>328</v>
      </c>
      <c r="H23" s="4" t="s">
        <v>408</v>
      </c>
      <c r="I23" s="4">
        <v>93382</v>
      </c>
      <c r="J23" s="4">
        <v>438</v>
      </c>
      <c r="K23" s="4">
        <v>93.34</v>
      </c>
      <c r="L23" s="35" t="s">
        <v>397</v>
      </c>
      <c r="M23" s="4" t="s">
        <v>328</v>
      </c>
      <c r="N23" s="63" t="s">
        <v>409</v>
      </c>
      <c r="O23" s="4">
        <f t="shared" si="0"/>
        <v>62.48216833095578</v>
      </c>
      <c r="P23" s="25">
        <v>80.28</v>
      </c>
      <c r="Q23" s="25">
        <f t="shared" si="1"/>
        <v>13.060000000000002</v>
      </c>
      <c r="R23" s="25">
        <f t="shared" si="2"/>
        <v>170.56360000000006</v>
      </c>
    </row>
    <row r="24" spans="1:18" ht="45" x14ac:dyDescent="0.25">
      <c r="A24" s="4">
        <v>20</v>
      </c>
      <c r="B24" s="33" t="s">
        <v>410</v>
      </c>
      <c r="C24" s="4">
        <v>120505473</v>
      </c>
      <c r="D24" s="4" t="s">
        <v>411</v>
      </c>
      <c r="E24" s="4" t="s">
        <v>33</v>
      </c>
      <c r="F24" s="61">
        <f>585/6</f>
        <v>97.5</v>
      </c>
      <c r="G24" s="4" t="s">
        <v>328</v>
      </c>
      <c r="H24" s="4" t="s">
        <v>412</v>
      </c>
      <c r="I24" s="4">
        <v>93398</v>
      </c>
      <c r="J24" s="4">
        <v>438</v>
      </c>
      <c r="K24" s="4">
        <v>93.34</v>
      </c>
      <c r="L24" s="4" t="s">
        <v>330</v>
      </c>
      <c r="M24" s="4" t="s">
        <v>328</v>
      </c>
      <c r="N24" s="116" t="s">
        <v>413</v>
      </c>
      <c r="O24" s="4">
        <f t="shared" si="0"/>
        <v>62.48216833095578</v>
      </c>
      <c r="P24" s="25">
        <v>80.28</v>
      </c>
      <c r="Q24" s="25">
        <f t="shared" si="1"/>
        <v>13.060000000000002</v>
      </c>
      <c r="R24" s="25">
        <f t="shared" si="2"/>
        <v>170.56360000000006</v>
      </c>
    </row>
    <row r="25" spans="1:18" ht="45" x14ac:dyDescent="0.25">
      <c r="A25" s="4">
        <v>21</v>
      </c>
      <c r="B25" s="33" t="s">
        <v>414</v>
      </c>
      <c r="C25" s="4">
        <v>120606156</v>
      </c>
      <c r="D25" s="4" t="s">
        <v>415</v>
      </c>
      <c r="E25" s="35" t="s">
        <v>39</v>
      </c>
      <c r="F25" s="61">
        <f>(180+56+60+58+60+58+29+30+24+26)/6</f>
        <v>96.833333333333329</v>
      </c>
      <c r="G25" s="4" t="s">
        <v>328</v>
      </c>
      <c r="H25" s="4" t="s">
        <v>416</v>
      </c>
      <c r="I25" s="4">
        <v>94321</v>
      </c>
      <c r="J25" s="4">
        <v>437</v>
      </c>
      <c r="K25" s="4">
        <v>93.28</v>
      </c>
      <c r="L25" s="4" t="s">
        <v>330</v>
      </c>
      <c r="M25" s="4" t="s">
        <v>328</v>
      </c>
      <c r="N25" s="116" t="s">
        <v>417</v>
      </c>
      <c r="O25" s="4">
        <f t="shared" si="0"/>
        <v>62.339514978601997</v>
      </c>
      <c r="P25" s="25">
        <v>80.28</v>
      </c>
      <c r="Q25" s="25">
        <f t="shared" si="1"/>
        <v>13</v>
      </c>
      <c r="R25" s="25">
        <f t="shared" si="2"/>
        <v>169</v>
      </c>
    </row>
    <row r="26" spans="1:18" ht="31.5" x14ac:dyDescent="0.25">
      <c r="A26" s="4">
        <v>22</v>
      </c>
      <c r="B26" s="33" t="s">
        <v>418</v>
      </c>
      <c r="C26" s="4">
        <v>120508548</v>
      </c>
      <c r="D26" s="4" t="s">
        <v>419</v>
      </c>
      <c r="E26" s="35" t="s">
        <v>41</v>
      </c>
      <c r="F26" s="64">
        <f>(60+60+60+50+56+57+59+57+30+29+30+28)/6</f>
        <v>96</v>
      </c>
      <c r="G26" s="4" t="s">
        <v>328</v>
      </c>
      <c r="H26" s="4" t="s">
        <v>165</v>
      </c>
      <c r="I26" s="4">
        <v>94942</v>
      </c>
      <c r="J26" s="4">
        <v>436</v>
      </c>
      <c r="K26" s="4"/>
      <c r="L26" s="35" t="s">
        <v>363</v>
      </c>
      <c r="M26" s="4" t="s">
        <v>328</v>
      </c>
      <c r="N26" s="63" t="s">
        <v>420</v>
      </c>
      <c r="O26" s="4">
        <f t="shared" si="0"/>
        <v>62.196861626248214</v>
      </c>
      <c r="P26" s="25">
        <v>80.28</v>
      </c>
      <c r="Q26" s="25">
        <f t="shared" si="1"/>
        <v>-80.28</v>
      </c>
      <c r="R26" s="25">
        <f t="shared" si="2"/>
        <v>6444.8784000000005</v>
      </c>
    </row>
    <row r="27" spans="1:18" ht="31.5" x14ac:dyDescent="0.25">
      <c r="A27" s="4">
        <v>23</v>
      </c>
      <c r="B27" s="33" t="s">
        <v>421</v>
      </c>
      <c r="C27" s="4">
        <v>420118966</v>
      </c>
      <c r="D27" s="4" t="s">
        <v>422</v>
      </c>
      <c r="E27" s="4" t="s">
        <v>43</v>
      </c>
      <c r="F27" s="61">
        <f>(60+57+60+56+59+53+120+120)/6</f>
        <v>97.5</v>
      </c>
      <c r="G27" s="4" t="s">
        <v>328</v>
      </c>
      <c r="H27" s="4" t="s">
        <v>423</v>
      </c>
      <c r="I27" s="4">
        <v>101070</v>
      </c>
      <c r="J27" s="4">
        <v>429</v>
      </c>
      <c r="K27" s="4">
        <v>92.78</v>
      </c>
      <c r="L27" s="35" t="s">
        <v>397</v>
      </c>
      <c r="M27" s="4" t="s">
        <v>328</v>
      </c>
      <c r="N27" s="63" t="s">
        <v>424</v>
      </c>
      <c r="O27" s="4">
        <f t="shared" si="0"/>
        <v>61.198288159771757</v>
      </c>
      <c r="P27" s="25">
        <v>80.28</v>
      </c>
      <c r="Q27" s="25">
        <f t="shared" si="1"/>
        <v>12.5</v>
      </c>
      <c r="R27" s="25">
        <f t="shared" si="2"/>
        <v>156.25</v>
      </c>
    </row>
    <row r="28" spans="1:18" ht="47.25" x14ac:dyDescent="0.25">
      <c r="A28" s="4">
        <v>24</v>
      </c>
      <c r="B28" s="33" t="s">
        <v>425</v>
      </c>
      <c r="C28" s="4">
        <v>120600702</v>
      </c>
      <c r="D28" s="4" t="s">
        <v>426</v>
      </c>
      <c r="E28" s="4" t="s">
        <v>39</v>
      </c>
      <c r="F28" s="61">
        <f>592/6</f>
        <v>98.666666666666671</v>
      </c>
      <c r="G28" s="4" t="s">
        <v>328</v>
      </c>
      <c r="H28" s="4" t="s">
        <v>427</v>
      </c>
      <c r="I28" s="4">
        <v>101454</v>
      </c>
      <c r="J28" s="4">
        <v>429</v>
      </c>
      <c r="K28" s="4">
        <v>92.78</v>
      </c>
      <c r="L28" s="4" t="s">
        <v>349</v>
      </c>
      <c r="M28" s="4" t="s">
        <v>328</v>
      </c>
      <c r="N28" s="116" t="s">
        <v>428</v>
      </c>
      <c r="O28" s="4">
        <f t="shared" si="0"/>
        <v>61.198288159771757</v>
      </c>
      <c r="P28" s="25">
        <v>80.28</v>
      </c>
      <c r="Q28" s="25">
        <f t="shared" si="1"/>
        <v>12.5</v>
      </c>
      <c r="R28" s="25">
        <f t="shared" si="2"/>
        <v>156.25</v>
      </c>
    </row>
    <row r="29" spans="1:18" ht="45" x14ac:dyDescent="0.25">
      <c r="A29" s="4">
        <v>25</v>
      </c>
      <c r="B29" s="33" t="s">
        <v>429</v>
      </c>
      <c r="C29" s="4">
        <v>120511708</v>
      </c>
      <c r="D29" s="4" t="s">
        <v>430</v>
      </c>
      <c r="E29" s="35" t="s">
        <v>41</v>
      </c>
      <c r="F29" s="64">
        <f>575/6</f>
        <v>95.833333333333329</v>
      </c>
      <c r="G29" s="4" t="s">
        <v>328</v>
      </c>
      <c r="H29" s="4" t="s">
        <v>431</v>
      </c>
      <c r="I29" s="4">
        <v>102011</v>
      </c>
      <c r="J29" s="4">
        <v>428</v>
      </c>
      <c r="K29" s="4">
        <v>92.72</v>
      </c>
      <c r="L29" s="35" t="s">
        <v>349</v>
      </c>
      <c r="M29" s="4" t="s">
        <v>328</v>
      </c>
      <c r="N29" s="116" t="s">
        <v>432</v>
      </c>
      <c r="O29" s="4">
        <f t="shared" si="0"/>
        <v>61.055634807417974</v>
      </c>
      <c r="P29" s="25">
        <v>80.28</v>
      </c>
      <c r="Q29" s="25">
        <f t="shared" si="1"/>
        <v>12.439999999999998</v>
      </c>
      <c r="R29" s="25">
        <f t="shared" si="2"/>
        <v>154.75359999999995</v>
      </c>
    </row>
    <row r="30" spans="1:18" ht="45" x14ac:dyDescent="0.25">
      <c r="A30" s="4">
        <v>26</v>
      </c>
      <c r="B30" s="33" t="s">
        <v>433</v>
      </c>
      <c r="C30" s="4">
        <v>120402136</v>
      </c>
      <c r="D30" s="4" t="s">
        <v>434</v>
      </c>
      <c r="E30" s="35" t="s">
        <v>41</v>
      </c>
      <c r="F30" s="64">
        <f>(120+57+48+110+58+57+29+28+28+28)/6</f>
        <v>93.833333333333329</v>
      </c>
      <c r="G30" s="4" t="s">
        <v>328</v>
      </c>
      <c r="H30" s="4" t="s">
        <v>435</v>
      </c>
      <c r="I30" s="4">
        <v>105569</v>
      </c>
      <c r="J30" s="4">
        <v>424</v>
      </c>
      <c r="K30" s="4">
        <v>92.46</v>
      </c>
      <c r="L30" s="35" t="s">
        <v>436</v>
      </c>
      <c r="M30" s="4" t="s">
        <v>328</v>
      </c>
      <c r="N30" s="116" t="s">
        <v>437</v>
      </c>
      <c r="O30" s="4">
        <f t="shared" si="0"/>
        <v>60.48502139800285</v>
      </c>
      <c r="P30" s="25">
        <v>80.28</v>
      </c>
      <c r="Q30" s="25">
        <f t="shared" si="1"/>
        <v>12.179999999999993</v>
      </c>
      <c r="R30" s="25">
        <f t="shared" si="2"/>
        <v>148.35239999999982</v>
      </c>
    </row>
    <row r="31" spans="1:18" ht="45" x14ac:dyDescent="0.25">
      <c r="A31" s="4">
        <v>27</v>
      </c>
      <c r="B31" s="33" t="s">
        <v>438</v>
      </c>
      <c r="C31" s="4">
        <v>120204037</v>
      </c>
      <c r="D31" s="4" t="s">
        <v>439</v>
      </c>
      <c r="E31" s="4" t="s">
        <v>39</v>
      </c>
      <c r="F31" s="61">
        <f>552/6</f>
        <v>92</v>
      </c>
      <c r="G31" s="4" t="s">
        <v>328</v>
      </c>
      <c r="H31" s="4" t="s">
        <v>440</v>
      </c>
      <c r="I31" s="4">
        <v>106474</v>
      </c>
      <c r="J31" s="4">
        <v>423</v>
      </c>
      <c r="K31" s="4">
        <v>92.4</v>
      </c>
      <c r="L31" s="4" t="s">
        <v>441</v>
      </c>
      <c r="M31" s="4" t="s">
        <v>328</v>
      </c>
      <c r="N31" s="116" t="s">
        <v>442</v>
      </c>
      <c r="O31" s="4">
        <f t="shared" si="0"/>
        <v>60.342368045649074</v>
      </c>
      <c r="P31" s="25">
        <v>80.28</v>
      </c>
      <c r="Q31" s="25">
        <f t="shared" si="1"/>
        <v>12.120000000000005</v>
      </c>
      <c r="R31" s="25">
        <f t="shared" si="2"/>
        <v>146.8944000000001</v>
      </c>
    </row>
    <row r="32" spans="1:18" ht="45" x14ac:dyDescent="0.25">
      <c r="A32" s="4">
        <v>28</v>
      </c>
      <c r="B32" s="33" t="s">
        <v>443</v>
      </c>
      <c r="C32" s="4">
        <v>120610534</v>
      </c>
      <c r="D32" s="4" t="s">
        <v>444</v>
      </c>
      <c r="E32" s="35" t="s">
        <v>33</v>
      </c>
      <c r="F32" s="61">
        <f>574/6</f>
        <v>95.666666666666671</v>
      </c>
      <c r="G32" s="4" t="s">
        <v>328</v>
      </c>
      <c r="H32" s="4" t="s">
        <v>445</v>
      </c>
      <c r="I32" s="4">
        <v>108085</v>
      </c>
      <c r="J32" s="4">
        <v>421</v>
      </c>
      <c r="K32" s="4">
        <v>92.28</v>
      </c>
      <c r="L32" s="4" t="s">
        <v>446</v>
      </c>
      <c r="M32" s="4" t="s">
        <v>328</v>
      </c>
      <c r="N32" s="116" t="s">
        <v>447</v>
      </c>
      <c r="O32" s="4">
        <f t="shared" si="0"/>
        <v>60.057061340941509</v>
      </c>
      <c r="P32" s="25">
        <v>80.28</v>
      </c>
      <c r="Q32" s="25">
        <f t="shared" si="1"/>
        <v>12</v>
      </c>
      <c r="R32" s="25">
        <f t="shared" si="2"/>
        <v>144</v>
      </c>
    </row>
    <row r="33" spans="1:18" ht="45" x14ac:dyDescent="0.25">
      <c r="A33" s="4">
        <v>29</v>
      </c>
      <c r="B33" s="33" t="s">
        <v>448</v>
      </c>
      <c r="C33" s="4">
        <v>120104120</v>
      </c>
      <c r="D33" s="4" t="s">
        <v>449</v>
      </c>
      <c r="E33" s="4" t="s">
        <v>33</v>
      </c>
      <c r="F33" s="61">
        <v>97</v>
      </c>
      <c r="G33" s="4" t="s">
        <v>328</v>
      </c>
      <c r="H33" s="4" t="s">
        <v>450</v>
      </c>
      <c r="I33" s="4">
        <v>108544</v>
      </c>
      <c r="J33" s="4">
        <v>421</v>
      </c>
      <c r="K33" s="4">
        <v>92.28</v>
      </c>
      <c r="L33" s="4" t="s">
        <v>451</v>
      </c>
      <c r="M33" s="4" t="s">
        <v>328</v>
      </c>
      <c r="N33" s="116" t="s">
        <v>452</v>
      </c>
      <c r="O33" s="4">
        <f t="shared" si="0"/>
        <v>60.057061340941509</v>
      </c>
      <c r="P33" s="25">
        <v>80.28</v>
      </c>
      <c r="Q33" s="25">
        <f t="shared" si="1"/>
        <v>12</v>
      </c>
      <c r="R33" s="25">
        <f t="shared" si="2"/>
        <v>144</v>
      </c>
    </row>
    <row r="34" spans="1:18" ht="31.5" x14ac:dyDescent="0.25">
      <c r="A34" s="4">
        <v>30</v>
      </c>
      <c r="B34" s="33" t="s">
        <v>453</v>
      </c>
      <c r="C34" s="4">
        <v>120603469</v>
      </c>
      <c r="D34" s="4" t="s">
        <v>454</v>
      </c>
      <c r="E34" s="35" t="s">
        <v>33</v>
      </c>
      <c r="F34" s="117">
        <f>(56+51+53+60+53+49+46+40+27+28+20+26)/6</f>
        <v>84.833333333333329</v>
      </c>
      <c r="G34" s="4" t="s">
        <v>328</v>
      </c>
      <c r="H34" s="4" t="s">
        <v>455</v>
      </c>
      <c r="I34" s="4">
        <v>109453</v>
      </c>
      <c r="J34" s="4">
        <v>420</v>
      </c>
      <c r="K34" s="4">
        <v>92.21</v>
      </c>
      <c r="L34" s="4" t="s">
        <v>446</v>
      </c>
      <c r="M34" s="4" t="s">
        <v>328</v>
      </c>
      <c r="N34" s="116" t="s">
        <v>456</v>
      </c>
      <c r="O34" s="4">
        <f t="shared" si="0"/>
        <v>59.914407988587733</v>
      </c>
      <c r="P34" s="25">
        <v>80.28</v>
      </c>
      <c r="Q34" s="25">
        <f t="shared" si="1"/>
        <v>11.929999999999993</v>
      </c>
      <c r="R34" s="25">
        <f t="shared" si="2"/>
        <v>142.32489999999981</v>
      </c>
    </row>
    <row r="35" spans="1:18" ht="45" x14ac:dyDescent="0.25">
      <c r="A35" s="4">
        <v>31</v>
      </c>
      <c r="B35" s="33" t="s">
        <v>457</v>
      </c>
      <c r="C35" s="4">
        <v>120100788</v>
      </c>
      <c r="D35" s="4" t="s">
        <v>458</v>
      </c>
      <c r="E35" s="35" t="s">
        <v>33</v>
      </c>
      <c r="F35" s="64">
        <f>560/6</f>
        <v>93.333333333333329</v>
      </c>
      <c r="G35" s="4" t="s">
        <v>328</v>
      </c>
      <c r="H35" s="4" t="s">
        <v>459</v>
      </c>
      <c r="I35" s="4">
        <v>110067</v>
      </c>
      <c r="J35" s="4">
        <v>419</v>
      </c>
      <c r="K35" s="4">
        <v>92.15</v>
      </c>
      <c r="L35" s="4" t="s">
        <v>446</v>
      </c>
      <c r="M35" s="4" t="s">
        <v>328</v>
      </c>
      <c r="N35" s="116" t="s">
        <v>460</v>
      </c>
      <c r="O35" s="4">
        <f t="shared" si="0"/>
        <v>59.77175463623395</v>
      </c>
      <c r="P35" s="25">
        <v>80.28</v>
      </c>
      <c r="Q35" s="25">
        <f t="shared" si="1"/>
        <v>11.870000000000005</v>
      </c>
      <c r="R35" s="25">
        <f t="shared" si="2"/>
        <v>140.8969000000001</v>
      </c>
    </row>
    <row r="36" spans="1:18" ht="45" x14ac:dyDescent="0.25">
      <c r="A36" s="4">
        <v>32</v>
      </c>
      <c r="B36" s="33" t="s">
        <v>461</v>
      </c>
      <c r="C36" s="4">
        <v>120100731</v>
      </c>
      <c r="D36" s="4" t="s">
        <v>462</v>
      </c>
      <c r="E36" s="35" t="s">
        <v>33</v>
      </c>
      <c r="F36" s="64">
        <f>(60+57+59+56+60+58+44+40+29+30+27+29)/6</f>
        <v>91.5</v>
      </c>
      <c r="G36" s="4" t="s">
        <v>328</v>
      </c>
      <c r="H36" s="4" t="s">
        <v>229</v>
      </c>
      <c r="I36" s="4">
        <v>111649</v>
      </c>
      <c r="J36" s="4">
        <v>417</v>
      </c>
      <c r="K36" s="4">
        <v>92.02</v>
      </c>
      <c r="L36" s="35" t="s">
        <v>441</v>
      </c>
      <c r="M36" s="4" t="s">
        <v>328</v>
      </c>
      <c r="N36" s="116" t="s">
        <v>463</v>
      </c>
      <c r="O36" s="4">
        <f t="shared" si="0"/>
        <v>59.486447931526392</v>
      </c>
      <c r="P36" s="25">
        <v>80.28</v>
      </c>
      <c r="Q36" s="25">
        <f t="shared" si="1"/>
        <v>11.739999999999995</v>
      </c>
      <c r="R36" s="25">
        <f t="shared" si="2"/>
        <v>137.82759999999988</v>
      </c>
    </row>
    <row r="37" spans="1:18" ht="45" x14ac:dyDescent="0.25">
      <c r="A37" s="4">
        <v>33</v>
      </c>
      <c r="B37" s="33" t="s">
        <v>464</v>
      </c>
      <c r="C37" s="4">
        <v>12060162</v>
      </c>
      <c r="D37" s="4" t="s">
        <v>465</v>
      </c>
      <c r="E37" s="4" t="s">
        <v>43</v>
      </c>
      <c r="F37" s="61">
        <f>(60+55+60+55+58+59+55+47+28+30+25+30)/6</f>
        <v>93.666666666666671</v>
      </c>
      <c r="G37" s="4" t="s">
        <v>328</v>
      </c>
      <c r="H37" s="4" t="s">
        <v>466</v>
      </c>
      <c r="I37" s="4">
        <v>120574</v>
      </c>
      <c r="J37" s="4">
        <v>408</v>
      </c>
      <c r="K37" s="4">
        <v>91.39</v>
      </c>
      <c r="L37" s="4" t="s">
        <v>349</v>
      </c>
      <c r="M37" s="4" t="s">
        <v>328</v>
      </c>
      <c r="N37" s="116" t="s">
        <v>467</v>
      </c>
      <c r="O37" s="4">
        <f t="shared" si="0"/>
        <v>58.202567760342369</v>
      </c>
      <c r="P37" s="25">
        <v>80.28</v>
      </c>
      <c r="Q37" s="25">
        <f t="shared" si="1"/>
        <v>11.11</v>
      </c>
      <c r="R37" s="25">
        <f t="shared" si="2"/>
        <v>123.43209999999999</v>
      </c>
    </row>
    <row r="38" spans="1:18" ht="45" x14ac:dyDescent="0.25">
      <c r="A38" s="4">
        <v>34</v>
      </c>
      <c r="B38" s="33" t="s">
        <v>468</v>
      </c>
      <c r="C38" s="4">
        <v>420116657</v>
      </c>
      <c r="D38" s="4" t="s">
        <v>469</v>
      </c>
      <c r="E38" s="35" t="s">
        <v>46</v>
      </c>
      <c r="F38" s="117">
        <f>588/6</f>
        <v>98</v>
      </c>
      <c r="G38" s="4" t="s">
        <v>328</v>
      </c>
      <c r="H38" s="4" t="s">
        <v>470</v>
      </c>
      <c r="I38" s="4">
        <v>129729</v>
      </c>
      <c r="J38" s="4">
        <v>399</v>
      </c>
      <c r="K38" s="4">
        <v>90.75</v>
      </c>
      <c r="L38" s="4" t="s">
        <v>446</v>
      </c>
      <c r="M38" s="4" t="s">
        <v>328</v>
      </c>
      <c r="N38" s="116" t="s">
        <v>471</v>
      </c>
      <c r="O38" s="4">
        <f t="shared" si="0"/>
        <v>56.918687589158345</v>
      </c>
      <c r="P38" s="25">
        <v>80.28</v>
      </c>
      <c r="Q38" s="25">
        <f t="shared" si="1"/>
        <v>10.469999999999999</v>
      </c>
      <c r="R38" s="25">
        <f t="shared" si="2"/>
        <v>109.62089999999998</v>
      </c>
    </row>
    <row r="39" spans="1:18" ht="45" x14ac:dyDescent="0.25">
      <c r="A39" s="4">
        <v>35</v>
      </c>
      <c r="B39" s="33" t="s">
        <v>472</v>
      </c>
      <c r="C39" s="4">
        <v>120100790</v>
      </c>
      <c r="D39" s="4" t="s">
        <v>473</v>
      </c>
      <c r="E39" s="35" t="s">
        <v>43</v>
      </c>
      <c r="F39" s="64">
        <f>570/6</f>
        <v>95</v>
      </c>
      <c r="G39" s="4" t="s">
        <v>328</v>
      </c>
      <c r="H39" s="4" t="s">
        <v>474</v>
      </c>
      <c r="I39" s="4">
        <v>130500</v>
      </c>
      <c r="J39" s="4">
        <v>398</v>
      </c>
      <c r="K39" s="4">
        <v>90.68</v>
      </c>
      <c r="L39" s="4" t="s">
        <v>446</v>
      </c>
      <c r="M39" s="4" t="s">
        <v>328</v>
      </c>
      <c r="N39" s="116" t="s">
        <v>475</v>
      </c>
      <c r="O39" s="4">
        <f t="shared" si="0"/>
        <v>56.776034236804563</v>
      </c>
      <c r="P39" s="25">
        <v>80.28</v>
      </c>
      <c r="Q39" s="25">
        <f t="shared" si="1"/>
        <v>10.400000000000006</v>
      </c>
      <c r="R39" s="25">
        <f t="shared" si="2"/>
        <v>108.16000000000012</v>
      </c>
    </row>
    <row r="40" spans="1:18" ht="45" x14ac:dyDescent="0.25">
      <c r="A40" s="4">
        <v>36</v>
      </c>
      <c r="B40" s="33" t="s">
        <v>476</v>
      </c>
      <c r="C40" s="4">
        <v>120609009</v>
      </c>
      <c r="D40" s="4" t="s">
        <v>477</v>
      </c>
      <c r="E40" s="35" t="s">
        <v>41</v>
      </c>
      <c r="F40" s="64">
        <f>(180+59+120+55+56+29+29+60)/6</f>
        <v>98</v>
      </c>
      <c r="G40" s="4" t="s">
        <v>328</v>
      </c>
      <c r="H40" s="4" t="s">
        <v>478</v>
      </c>
      <c r="I40" s="4">
        <v>138814</v>
      </c>
      <c r="J40" s="4">
        <v>390</v>
      </c>
      <c r="K40" s="4">
        <v>90.08</v>
      </c>
      <c r="L40" s="4" t="s">
        <v>446</v>
      </c>
      <c r="M40" s="4" t="s">
        <v>328</v>
      </c>
      <c r="N40" s="116" t="s">
        <v>479</v>
      </c>
      <c r="O40" s="4">
        <f t="shared" si="0"/>
        <v>55.634807417974322</v>
      </c>
      <c r="P40" s="25">
        <v>80.28</v>
      </c>
      <c r="Q40" s="25">
        <f t="shared" si="1"/>
        <v>9.7999999999999972</v>
      </c>
      <c r="R40" s="25">
        <f t="shared" si="2"/>
        <v>96.039999999999949</v>
      </c>
    </row>
    <row r="41" spans="1:18" ht="31.5" x14ac:dyDescent="0.25">
      <c r="A41" s="4">
        <v>37</v>
      </c>
      <c r="B41" s="33" t="s">
        <v>480</v>
      </c>
      <c r="C41" s="4">
        <v>120516946</v>
      </c>
      <c r="D41" s="4" t="s">
        <v>481</v>
      </c>
      <c r="E41" s="4" t="s">
        <v>37</v>
      </c>
      <c r="F41" s="61">
        <f>(59+57+60+58+60+60+60+52+30+30+29+30)/6</f>
        <v>97.5</v>
      </c>
      <c r="G41" s="4" t="s">
        <v>328</v>
      </c>
      <c r="H41" s="4" t="s">
        <v>482</v>
      </c>
      <c r="I41" s="4">
        <v>143033</v>
      </c>
      <c r="J41" s="4">
        <v>386</v>
      </c>
      <c r="K41" s="4">
        <v>89.79</v>
      </c>
      <c r="L41" s="4" t="s">
        <v>363</v>
      </c>
      <c r="M41" s="4" t="s">
        <v>328</v>
      </c>
      <c r="N41" s="63" t="s">
        <v>483</v>
      </c>
      <c r="O41" s="4">
        <f t="shared" si="0"/>
        <v>55.064194008559198</v>
      </c>
      <c r="P41" s="25">
        <v>80.28</v>
      </c>
      <c r="Q41" s="25">
        <f t="shared" si="1"/>
        <v>9.5100000000000051</v>
      </c>
      <c r="R41" s="25">
        <f t="shared" si="2"/>
        <v>90.440100000000101</v>
      </c>
    </row>
    <row r="42" spans="1:18" ht="45" x14ac:dyDescent="0.25">
      <c r="A42" s="4">
        <v>38</v>
      </c>
      <c r="B42" s="33" t="s">
        <v>484</v>
      </c>
      <c r="C42" s="4">
        <v>120509366</v>
      </c>
      <c r="D42" s="4" t="s">
        <v>485</v>
      </c>
      <c r="E42" s="4" t="s">
        <v>37</v>
      </c>
      <c r="F42" s="61">
        <f>577/6</f>
        <v>96.166666666666671</v>
      </c>
      <c r="G42" s="4" t="s">
        <v>328</v>
      </c>
      <c r="H42" s="4" t="s">
        <v>486</v>
      </c>
      <c r="I42" s="4">
        <v>151015</v>
      </c>
      <c r="J42" s="4">
        <v>379</v>
      </c>
      <c r="K42" s="4">
        <v>89.22</v>
      </c>
      <c r="L42" s="4" t="s">
        <v>354</v>
      </c>
      <c r="M42" s="4" t="s">
        <v>328</v>
      </c>
      <c r="N42" s="116" t="s">
        <v>487</v>
      </c>
      <c r="O42" s="4">
        <f t="shared" si="0"/>
        <v>54.06562054208274</v>
      </c>
      <c r="P42" s="25">
        <v>80.28</v>
      </c>
      <c r="Q42" s="25">
        <f t="shared" si="1"/>
        <v>8.9399999999999977</v>
      </c>
      <c r="R42" s="25">
        <f t="shared" si="2"/>
        <v>79.923599999999965</v>
      </c>
    </row>
    <row r="43" spans="1:18" ht="31.5" x14ac:dyDescent="0.25">
      <c r="A43" s="4">
        <v>39</v>
      </c>
      <c r="B43" s="33" t="s">
        <v>488</v>
      </c>
      <c r="C43" s="4">
        <v>120105236</v>
      </c>
      <c r="D43" s="4" t="s">
        <v>489</v>
      </c>
      <c r="E43" s="35" t="s">
        <v>46</v>
      </c>
      <c r="F43" s="61">
        <f>(60+57+56+58+60+59+56+48+29+60+29)/6</f>
        <v>95.333333333333329</v>
      </c>
      <c r="G43" s="4" t="s">
        <v>328</v>
      </c>
      <c r="H43" s="4" t="s">
        <v>490</v>
      </c>
      <c r="I43" s="4">
        <v>158761</v>
      </c>
      <c r="J43" s="4">
        <v>372</v>
      </c>
      <c r="K43" s="4">
        <v>88.66</v>
      </c>
      <c r="L43" s="4" t="s">
        <v>340</v>
      </c>
      <c r="M43" s="4" t="s">
        <v>328</v>
      </c>
      <c r="N43" s="63" t="s">
        <v>491</v>
      </c>
      <c r="O43" s="4">
        <f t="shared" si="0"/>
        <v>53.067047075606276</v>
      </c>
      <c r="P43" s="25">
        <v>80.28</v>
      </c>
      <c r="Q43" s="25">
        <f t="shared" si="1"/>
        <v>8.3799999999999955</v>
      </c>
      <c r="R43" s="25">
        <f t="shared" si="2"/>
        <v>70.224399999999918</v>
      </c>
    </row>
    <row r="44" spans="1:18" ht="31.5" x14ac:dyDescent="0.25">
      <c r="A44" s="4">
        <v>40</v>
      </c>
      <c r="B44" s="33" t="s">
        <v>492</v>
      </c>
      <c r="C44" s="4">
        <v>120513726</v>
      </c>
      <c r="D44" s="4" t="s">
        <v>493</v>
      </c>
      <c r="E44" s="35" t="s">
        <v>43</v>
      </c>
      <c r="F44" s="61">
        <f>(60+51+52+48+57+43+47+48+29+28+29+30)/6</f>
        <v>87</v>
      </c>
      <c r="G44" s="4" t="s">
        <v>328</v>
      </c>
      <c r="H44" s="4" t="s">
        <v>494</v>
      </c>
      <c r="I44" s="4">
        <v>161390</v>
      </c>
      <c r="J44" s="4">
        <v>370</v>
      </c>
      <c r="K44" s="4">
        <v>88.5</v>
      </c>
      <c r="L44" s="4" t="s">
        <v>495</v>
      </c>
      <c r="M44" s="4" t="s">
        <v>328</v>
      </c>
      <c r="N44" s="63" t="s">
        <v>496</v>
      </c>
      <c r="O44" s="4">
        <f t="shared" si="0"/>
        <v>52.781740370898717</v>
      </c>
      <c r="P44" s="25">
        <v>80.28</v>
      </c>
      <c r="Q44" s="25">
        <f t="shared" si="1"/>
        <v>8.2199999999999989</v>
      </c>
      <c r="R44" s="25">
        <f t="shared" si="2"/>
        <v>67.568399999999983</v>
      </c>
    </row>
    <row r="45" spans="1:18" ht="45" x14ac:dyDescent="0.25">
      <c r="A45" s="4">
        <v>41</v>
      </c>
      <c r="B45" s="33" t="s">
        <v>497</v>
      </c>
      <c r="C45" s="4">
        <v>120105521</v>
      </c>
      <c r="D45" s="4" t="s">
        <v>498</v>
      </c>
      <c r="E45" s="4" t="s">
        <v>37</v>
      </c>
      <c r="F45" s="61">
        <f>533/6</f>
        <v>88.833333333333329</v>
      </c>
      <c r="G45" s="4" t="s">
        <v>328</v>
      </c>
      <c r="H45" s="4" t="s">
        <v>499</v>
      </c>
      <c r="I45" s="4">
        <v>162517</v>
      </c>
      <c r="J45" s="4">
        <v>369</v>
      </c>
      <c r="K45" s="4">
        <v>88.41</v>
      </c>
      <c r="L45" s="4" t="s">
        <v>446</v>
      </c>
      <c r="M45" s="4" t="s">
        <v>328</v>
      </c>
      <c r="N45" s="116" t="s">
        <v>500</v>
      </c>
      <c r="O45" s="4">
        <f t="shared" si="0"/>
        <v>52.639087018544934</v>
      </c>
      <c r="P45" s="25">
        <v>80.28</v>
      </c>
      <c r="Q45" s="25">
        <f t="shared" si="1"/>
        <v>8.1299999999999955</v>
      </c>
      <c r="R45" s="25">
        <f t="shared" si="2"/>
        <v>66.09689999999992</v>
      </c>
    </row>
    <row r="46" spans="1:18" ht="45" x14ac:dyDescent="0.25">
      <c r="A46" s="4">
        <v>42</v>
      </c>
      <c r="B46" s="33" t="s">
        <v>501</v>
      </c>
      <c r="C46" s="4">
        <v>120104796</v>
      </c>
      <c r="D46" s="4" t="s">
        <v>502</v>
      </c>
      <c r="E46" s="4" t="s">
        <v>46</v>
      </c>
      <c r="F46" s="61">
        <f>557/6</f>
        <v>92.833333333333329</v>
      </c>
      <c r="G46" s="4" t="s">
        <v>328</v>
      </c>
      <c r="H46" s="4" t="s">
        <v>503</v>
      </c>
      <c r="I46" s="4">
        <v>163736</v>
      </c>
      <c r="J46" s="4">
        <v>368</v>
      </c>
      <c r="K46" s="4">
        <v>88.33</v>
      </c>
      <c r="L46" s="4" t="s">
        <v>451</v>
      </c>
      <c r="M46" s="4" t="s">
        <v>328</v>
      </c>
      <c r="N46" s="116" t="s">
        <v>504</v>
      </c>
      <c r="O46" s="4">
        <f t="shared" si="0"/>
        <v>52.496433666191159</v>
      </c>
      <c r="P46" s="25">
        <v>80.28</v>
      </c>
      <c r="Q46" s="25">
        <f t="shared" si="1"/>
        <v>8.0499999999999972</v>
      </c>
      <c r="R46" s="25">
        <f t="shared" si="2"/>
        <v>64.802499999999952</v>
      </c>
    </row>
    <row r="47" spans="1:18" ht="31.5" x14ac:dyDescent="0.25">
      <c r="A47" s="4">
        <v>43</v>
      </c>
      <c r="B47" s="33" t="s">
        <v>505</v>
      </c>
      <c r="C47" s="4">
        <v>120100394</v>
      </c>
      <c r="D47" s="4" t="s">
        <v>506</v>
      </c>
      <c r="E47" s="35" t="s">
        <v>50</v>
      </c>
      <c r="F47" s="61">
        <f>592/6</f>
        <v>98.666666666666671</v>
      </c>
      <c r="G47" s="4" t="s">
        <v>328</v>
      </c>
      <c r="H47" s="4" t="s">
        <v>507</v>
      </c>
      <c r="I47" s="4">
        <v>165697</v>
      </c>
      <c r="J47" s="4">
        <v>366</v>
      </c>
      <c r="K47" s="4">
        <v>88.17</v>
      </c>
      <c r="L47" s="4" t="s">
        <v>340</v>
      </c>
      <c r="M47" s="4" t="s">
        <v>328</v>
      </c>
      <c r="N47" s="63" t="s">
        <v>508</v>
      </c>
      <c r="O47" s="4">
        <f t="shared" si="0"/>
        <v>52.211126961483593</v>
      </c>
      <c r="P47" s="25">
        <v>80.28</v>
      </c>
      <c r="Q47" s="25">
        <f t="shared" si="1"/>
        <v>7.8900000000000006</v>
      </c>
      <c r="R47" s="25">
        <f t="shared" si="2"/>
        <v>62.252100000000006</v>
      </c>
    </row>
    <row r="48" spans="1:18" ht="31.5" x14ac:dyDescent="0.25">
      <c r="A48" s="4">
        <v>44</v>
      </c>
      <c r="B48" s="33" t="s">
        <v>509</v>
      </c>
      <c r="C48" s="4">
        <v>120102410</v>
      </c>
      <c r="D48" s="4" t="s">
        <v>510</v>
      </c>
      <c r="E48" s="35" t="s">
        <v>50</v>
      </c>
      <c r="F48" s="64">
        <f>(57+58+56+58+60+58+58+54+30+29+30+30)/6</f>
        <v>96.333333333333329</v>
      </c>
      <c r="G48" s="4" t="s">
        <v>328</v>
      </c>
      <c r="H48" s="4" t="s">
        <v>511</v>
      </c>
      <c r="I48" s="4">
        <v>172779</v>
      </c>
      <c r="J48" s="4">
        <v>360</v>
      </c>
      <c r="K48" s="4">
        <v>87.66</v>
      </c>
      <c r="L48" s="35" t="s">
        <v>340</v>
      </c>
      <c r="M48" s="4" t="s">
        <v>328</v>
      </c>
      <c r="N48" s="63" t="s">
        <v>512</v>
      </c>
      <c r="O48" s="4">
        <f t="shared" si="0"/>
        <v>51.355206847360911</v>
      </c>
      <c r="P48" s="25">
        <v>80.28</v>
      </c>
      <c r="Q48" s="25">
        <f t="shared" si="1"/>
        <v>7.3799999999999955</v>
      </c>
      <c r="R48" s="25">
        <f t="shared" si="2"/>
        <v>54.464399999999934</v>
      </c>
    </row>
    <row r="49" spans="1:18" ht="30" x14ac:dyDescent="0.25">
      <c r="A49" s="4">
        <v>45</v>
      </c>
      <c r="B49" s="33" t="s">
        <v>513</v>
      </c>
      <c r="C49" s="4">
        <v>120504944</v>
      </c>
      <c r="D49" s="4" t="s">
        <v>514</v>
      </c>
      <c r="E49" s="4" t="s">
        <v>37</v>
      </c>
      <c r="F49" s="61">
        <f>585/6</f>
        <v>97.5</v>
      </c>
      <c r="G49" s="4" t="s">
        <v>328</v>
      </c>
      <c r="H49" s="4" t="s">
        <v>515</v>
      </c>
      <c r="I49" s="4">
        <v>174586</v>
      </c>
      <c r="J49" s="4">
        <v>359</v>
      </c>
      <c r="K49" s="4">
        <v>87.57</v>
      </c>
      <c r="L49" s="4" t="s">
        <v>451</v>
      </c>
      <c r="M49" s="4" t="s">
        <v>328</v>
      </c>
      <c r="N49" s="116" t="s">
        <v>516</v>
      </c>
      <c r="O49" s="4">
        <f t="shared" si="0"/>
        <v>51.212553495007135</v>
      </c>
      <c r="P49" s="25">
        <v>80.28</v>
      </c>
      <c r="Q49" s="25">
        <f t="shared" si="1"/>
        <v>7.289999999999992</v>
      </c>
      <c r="R49" s="25">
        <f t="shared" si="2"/>
        <v>53.144099999999881</v>
      </c>
    </row>
    <row r="50" spans="1:18" ht="30" x14ac:dyDescent="0.25">
      <c r="A50" s="4">
        <v>46</v>
      </c>
      <c r="B50" s="33" t="s">
        <v>517</v>
      </c>
      <c r="C50" s="4">
        <v>120501069</v>
      </c>
      <c r="D50" s="4" t="s">
        <v>518</v>
      </c>
      <c r="E50" s="4" t="s">
        <v>37</v>
      </c>
      <c r="F50" s="61">
        <f>580/6</f>
        <v>96.666666666666671</v>
      </c>
      <c r="G50" s="4" t="s">
        <v>328</v>
      </c>
      <c r="H50" s="4" t="s">
        <v>519</v>
      </c>
      <c r="I50" s="4">
        <v>175795</v>
      </c>
      <c r="J50" s="4">
        <v>358</v>
      </c>
      <c r="K50" s="4">
        <v>87.49</v>
      </c>
      <c r="L50" s="4" t="s">
        <v>520</v>
      </c>
      <c r="M50" s="4" t="s">
        <v>328</v>
      </c>
      <c r="N50" s="116" t="s">
        <v>521</v>
      </c>
      <c r="O50" s="4">
        <f t="shared" si="0"/>
        <v>51.069900142653353</v>
      </c>
      <c r="P50" s="25">
        <v>80.28</v>
      </c>
      <c r="Q50" s="25">
        <f t="shared" si="1"/>
        <v>7.2099999999999937</v>
      </c>
      <c r="R50" s="25">
        <f t="shared" si="2"/>
        <v>51.984099999999913</v>
      </c>
    </row>
    <row r="51" spans="1:18" ht="45" x14ac:dyDescent="0.25">
      <c r="A51" s="4">
        <v>47</v>
      </c>
      <c r="B51" s="33" t="s">
        <v>522</v>
      </c>
      <c r="C51" s="4">
        <v>120504841</v>
      </c>
      <c r="D51" s="4" t="s">
        <v>523</v>
      </c>
      <c r="E51" s="4" t="s">
        <v>37</v>
      </c>
      <c r="F51" s="61">
        <f>587/6</f>
        <v>97.833333333333329</v>
      </c>
      <c r="G51" s="4" t="s">
        <v>328</v>
      </c>
      <c r="H51" s="4" t="s">
        <v>524</v>
      </c>
      <c r="I51" s="4">
        <v>176467</v>
      </c>
      <c r="J51" s="4">
        <v>357</v>
      </c>
      <c r="K51" s="4">
        <v>87.4</v>
      </c>
      <c r="L51" s="4" t="s">
        <v>446</v>
      </c>
      <c r="M51" s="4" t="s">
        <v>328</v>
      </c>
      <c r="N51" s="116" t="s">
        <v>525</v>
      </c>
      <c r="O51" s="4">
        <f t="shared" si="0"/>
        <v>50.92724679029957</v>
      </c>
      <c r="P51" s="25">
        <v>80.28</v>
      </c>
      <c r="Q51" s="25">
        <f t="shared" si="1"/>
        <v>7.1200000000000045</v>
      </c>
      <c r="R51" s="25">
        <f t="shared" si="2"/>
        <v>50.694400000000066</v>
      </c>
    </row>
    <row r="52" spans="1:18" ht="30" x14ac:dyDescent="0.25">
      <c r="A52" s="4">
        <v>48</v>
      </c>
      <c r="B52" s="33" t="s">
        <v>526</v>
      </c>
      <c r="C52" s="4">
        <v>120604455</v>
      </c>
      <c r="D52" s="4" t="s">
        <v>386</v>
      </c>
      <c r="E52" s="4" t="s">
        <v>37</v>
      </c>
      <c r="F52" s="61">
        <f>(56+57+48+44+56+55+56+35+28+27+22+23)/6</f>
        <v>84.5</v>
      </c>
      <c r="G52" s="4" t="s">
        <v>328</v>
      </c>
      <c r="H52" s="4" t="s">
        <v>527</v>
      </c>
      <c r="I52" s="4">
        <v>181672</v>
      </c>
      <c r="J52" s="4">
        <v>353</v>
      </c>
      <c r="K52" s="4">
        <v>87.04</v>
      </c>
      <c r="L52" s="4" t="s">
        <v>451</v>
      </c>
      <c r="M52" s="4" t="s">
        <v>328</v>
      </c>
      <c r="N52" s="116" t="s">
        <v>528</v>
      </c>
      <c r="O52" s="4">
        <f t="shared" si="0"/>
        <v>50.356633380884453</v>
      </c>
      <c r="P52" s="25">
        <v>80.28</v>
      </c>
      <c r="Q52" s="25">
        <f t="shared" si="1"/>
        <v>6.7600000000000051</v>
      </c>
      <c r="R52" s="25">
        <f t="shared" si="2"/>
        <v>45.697600000000072</v>
      </c>
    </row>
    <row r="53" spans="1:18" ht="45" x14ac:dyDescent="0.25">
      <c r="A53" s="4">
        <v>49</v>
      </c>
      <c r="B53" s="33" t="s">
        <v>529</v>
      </c>
      <c r="C53" s="4">
        <v>120601967</v>
      </c>
      <c r="D53" s="4" t="s">
        <v>530</v>
      </c>
      <c r="E53" s="4" t="s">
        <v>46</v>
      </c>
      <c r="F53" s="61">
        <f>(120+116+240+120)/6</f>
        <v>99.333333333333329</v>
      </c>
      <c r="G53" s="4" t="s">
        <v>328</v>
      </c>
      <c r="H53" s="4" t="s">
        <v>531</v>
      </c>
      <c r="I53" s="4">
        <v>198448</v>
      </c>
      <c r="J53" s="4">
        <v>340</v>
      </c>
      <c r="K53" s="4">
        <v>85.84</v>
      </c>
      <c r="L53" s="4" t="s">
        <v>446</v>
      </c>
      <c r="M53" s="4" t="s">
        <v>328</v>
      </c>
      <c r="N53" s="116" t="s">
        <v>532</v>
      </c>
      <c r="O53" s="4">
        <f t="shared" si="0"/>
        <v>48.502139800285306</v>
      </c>
      <c r="P53" s="25">
        <v>80.28</v>
      </c>
      <c r="Q53" s="25">
        <f t="shared" si="1"/>
        <v>5.5600000000000023</v>
      </c>
      <c r="R53" s="25">
        <f t="shared" si="2"/>
        <v>30.913600000000024</v>
      </c>
    </row>
    <row r="54" spans="1:18" ht="31.5" x14ac:dyDescent="0.25">
      <c r="A54" s="4">
        <v>50</v>
      </c>
      <c r="B54" s="33" t="s">
        <v>533</v>
      </c>
      <c r="C54" s="4">
        <v>120107985</v>
      </c>
      <c r="D54" s="4" t="s">
        <v>534</v>
      </c>
      <c r="E54" s="4" t="s">
        <v>39</v>
      </c>
      <c r="F54" s="61">
        <f>517/6</f>
        <v>86.166666666666671</v>
      </c>
      <c r="G54" s="4" t="s">
        <v>328</v>
      </c>
      <c r="H54" s="4" t="s">
        <v>535</v>
      </c>
      <c r="I54" s="4">
        <v>277045</v>
      </c>
      <c r="J54" s="4">
        <v>288</v>
      </c>
      <c r="K54" s="4">
        <v>80.239999999999995</v>
      </c>
      <c r="L54" s="4" t="s">
        <v>446</v>
      </c>
      <c r="M54" s="4" t="s">
        <v>328</v>
      </c>
      <c r="N54" s="116" t="s">
        <v>536</v>
      </c>
      <c r="O54" s="4">
        <f t="shared" si="0"/>
        <v>41.084165477888732</v>
      </c>
      <c r="P54" s="25">
        <v>80.28</v>
      </c>
      <c r="Q54" s="25">
        <f t="shared" si="1"/>
        <v>-4.0000000000006253E-2</v>
      </c>
      <c r="R54" s="25">
        <f t="shared" si="2"/>
        <v>1.6000000000005003E-3</v>
      </c>
    </row>
    <row r="55" spans="1:18" ht="47.25" x14ac:dyDescent="0.25">
      <c r="A55" s="4">
        <v>51</v>
      </c>
      <c r="B55" s="33" t="s">
        <v>537</v>
      </c>
      <c r="C55" s="4">
        <v>120501909</v>
      </c>
      <c r="D55" s="4" t="s">
        <v>538</v>
      </c>
      <c r="E55" s="4" t="s">
        <v>33</v>
      </c>
      <c r="F55" s="4">
        <f>(49+45+44+50+59+58+60+51+28+29+25+24)/6</f>
        <v>87</v>
      </c>
      <c r="G55" s="4" t="s">
        <v>328</v>
      </c>
      <c r="H55" s="4" t="s">
        <v>539</v>
      </c>
      <c r="I55" s="4">
        <v>125447</v>
      </c>
      <c r="J55" s="4">
        <v>403</v>
      </c>
      <c r="K55" s="4">
        <v>91.04</v>
      </c>
      <c r="L55" s="4" t="s">
        <v>540</v>
      </c>
      <c r="M55" s="4" t="s">
        <v>328</v>
      </c>
      <c r="N55" s="4" t="s">
        <v>541</v>
      </c>
      <c r="O55" s="4">
        <f t="shared" si="0"/>
        <v>57.489300998573469</v>
      </c>
      <c r="P55" s="25">
        <v>80.28</v>
      </c>
      <c r="Q55" s="25">
        <f t="shared" si="1"/>
        <v>10.760000000000005</v>
      </c>
      <c r="R55" s="25">
        <f t="shared" si="2"/>
        <v>115.77760000000011</v>
      </c>
    </row>
    <row r="56" spans="1:18" ht="31.5" x14ac:dyDescent="0.25">
      <c r="A56" s="4">
        <v>52</v>
      </c>
      <c r="B56" s="65" t="s">
        <v>542</v>
      </c>
      <c r="C56" s="66">
        <v>120512905</v>
      </c>
      <c r="D56" s="66" t="s">
        <v>543</v>
      </c>
      <c r="E56" s="66" t="s">
        <v>43</v>
      </c>
      <c r="F56" s="67">
        <f>(60+60+54+58+57+55+59+37+120)/6</f>
        <v>93.333333333333329</v>
      </c>
      <c r="G56" s="4" t="s">
        <v>328</v>
      </c>
      <c r="H56" s="66" t="s">
        <v>544</v>
      </c>
      <c r="I56" s="66">
        <v>135669</v>
      </c>
      <c r="J56" s="66">
        <v>393</v>
      </c>
      <c r="K56" s="66">
        <v>90.31</v>
      </c>
      <c r="L56" s="66" t="s">
        <v>545</v>
      </c>
      <c r="M56" s="4" t="s">
        <v>328</v>
      </c>
      <c r="N56" s="63" t="s">
        <v>546</v>
      </c>
      <c r="O56" s="4">
        <f t="shared" si="0"/>
        <v>56.062767475035663</v>
      </c>
      <c r="P56" s="25">
        <v>80.28</v>
      </c>
      <c r="Q56" s="25">
        <f t="shared" si="1"/>
        <v>10.030000000000001</v>
      </c>
      <c r="R56" s="25">
        <f t="shared" si="2"/>
        <v>100.60090000000002</v>
      </c>
    </row>
    <row r="57" spans="1:18" ht="31.5" x14ac:dyDescent="0.25">
      <c r="A57" s="4">
        <v>53</v>
      </c>
      <c r="B57" s="33" t="s">
        <v>547</v>
      </c>
      <c r="C57" s="4">
        <v>120604906</v>
      </c>
      <c r="D57" s="4" t="s">
        <v>548</v>
      </c>
      <c r="E57" s="4" t="s">
        <v>33</v>
      </c>
      <c r="F57" s="68">
        <f>(58+60+58+58+56+58+57+52+30+29+30+29)/600*100</f>
        <v>95.833333333333343</v>
      </c>
      <c r="G57" s="4" t="s">
        <v>328</v>
      </c>
      <c r="H57" s="4" t="s">
        <v>549</v>
      </c>
      <c r="I57" s="4">
        <v>167911</v>
      </c>
      <c r="J57" s="4">
        <v>365</v>
      </c>
      <c r="K57" s="4">
        <v>88.08</v>
      </c>
      <c r="L57" s="4" t="s">
        <v>550</v>
      </c>
      <c r="M57" s="4" t="s">
        <v>328</v>
      </c>
      <c r="N57" s="4" t="s">
        <v>551</v>
      </c>
      <c r="O57" s="4">
        <f t="shared" si="0"/>
        <v>52.068473609129818</v>
      </c>
      <c r="P57" s="25">
        <v>80.28</v>
      </c>
      <c r="Q57" s="25">
        <f t="shared" si="1"/>
        <v>7.7999999999999972</v>
      </c>
      <c r="R57" s="25">
        <f t="shared" si="2"/>
        <v>60.839999999999954</v>
      </c>
    </row>
    <row r="58" spans="1:18" ht="31.5" x14ac:dyDescent="0.25">
      <c r="A58" s="4">
        <v>54</v>
      </c>
      <c r="B58" s="33" t="s">
        <v>552</v>
      </c>
      <c r="C58" s="4">
        <v>120503422</v>
      </c>
      <c r="D58" s="4" t="s">
        <v>553</v>
      </c>
      <c r="E58" s="4" t="s">
        <v>33</v>
      </c>
      <c r="F58" s="68">
        <f>(59+56+30+55+57+30+60+57+30+56+56+29)/6</f>
        <v>95.833333333333329</v>
      </c>
      <c r="G58" s="4" t="s">
        <v>328</v>
      </c>
      <c r="H58" s="4" t="s">
        <v>554</v>
      </c>
      <c r="I58" s="4">
        <v>184068</v>
      </c>
      <c r="J58" s="4">
        <v>351</v>
      </c>
      <c r="K58" s="4">
        <v>88.86</v>
      </c>
      <c r="L58" s="4" t="s">
        <v>545</v>
      </c>
      <c r="M58" s="4" t="s">
        <v>328</v>
      </c>
      <c r="N58" s="4" t="s">
        <v>555</v>
      </c>
      <c r="O58" s="4">
        <f t="shared" si="0"/>
        <v>50.071326676176888</v>
      </c>
      <c r="P58" s="25">
        <v>80.28</v>
      </c>
      <c r="Q58" s="25">
        <f t="shared" si="1"/>
        <v>8.5799999999999983</v>
      </c>
      <c r="R58" s="25">
        <f t="shared" si="2"/>
        <v>73.61639999999997</v>
      </c>
    </row>
    <row r="59" spans="1:18" ht="47.25" x14ac:dyDescent="0.25">
      <c r="A59" s="4">
        <v>55</v>
      </c>
      <c r="B59" s="33" t="s">
        <v>556</v>
      </c>
      <c r="C59" s="4">
        <v>120608586</v>
      </c>
      <c r="D59" s="4" t="s">
        <v>557</v>
      </c>
      <c r="E59" s="4" t="s">
        <v>33</v>
      </c>
      <c r="F59" s="68">
        <f>(59+51+58+57+30+28+29+29+16+16+58+56)/600*100</f>
        <v>81.166666666666671</v>
      </c>
      <c r="G59" s="4" t="s">
        <v>328</v>
      </c>
      <c r="H59" s="4" t="s">
        <v>343</v>
      </c>
      <c r="I59" s="4">
        <v>190989</v>
      </c>
      <c r="J59" s="4">
        <v>346</v>
      </c>
      <c r="K59" s="4">
        <v>86.4</v>
      </c>
      <c r="L59" s="4" t="s">
        <v>540</v>
      </c>
      <c r="M59" s="4" t="s">
        <v>328</v>
      </c>
      <c r="N59" s="4" t="s">
        <v>558</v>
      </c>
      <c r="O59" s="4">
        <f t="shared" si="0"/>
        <v>49.358059914407988</v>
      </c>
      <c r="P59" s="25">
        <v>80.28</v>
      </c>
      <c r="Q59" s="25">
        <f t="shared" si="1"/>
        <v>6.1200000000000045</v>
      </c>
      <c r="R59" s="25">
        <f t="shared" si="2"/>
        <v>37.454400000000057</v>
      </c>
    </row>
    <row r="60" spans="1:18" ht="31.5" x14ac:dyDescent="0.25">
      <c r="A60" s="4">
        <v>56</v>
      </c>
      <c r="B60" s="65" t="s">
        <v>559</v>
      </c>
      <c r="C60" s="66">
        <v>120502295</v>
      </c>
      <c r="D60" s="66" t="s">
        <v>518</v>
      </c>
      <c r="E60" s="66" t="s">
        <v>33</v>
      </c>
      <c r="F60" s="66">
        <f>579/600*100</f>
        <v>96.5</v>
      </c>
      <c r="G60" s="4" t="s">
        <v>328</v>
      </c>
      <c r="H60" s="66" t="s">
        <v>560</v>
      </c>
      <c r="I60" s="66">
        <v>214389</v>
      </c>
      <c r="J60" s="66">
        <v>329</v>
      </c>
      <c r="K60" s="66">
        <v>84.75</v>
      </c>
      <c r="L60" s="66" t="s">
        <v>545</v>
      </c>
      <c r="M60" s="4" t="s">
        <v>328</v>
      </c>
      <c r="N60" s="63" t="s">
        <v>561</v>
      </c>
      <c r="O60" s="4">
        <f t="shared" si="0"/>
        <v>46.932952924393724</v>
      </c>
      <c r="P60" s="25">
        <v>80.28</v>
      </c>
      <c r="Q60" s="25">
        <f t="shared" si="1"/>
        <v>4.4699999999999989</v>
      </c>
      <c r="R60" s="25">
        <f t="shared" si="2"/>
        <v>19.980899999999991</v>
      </c>
    </row>
    <row r="61" spans="1:18" ht="47.25" x14ac:dyDescent="0.25">
      <c r="A61" s="4">
        <v>57</v>
      </c>
      <c r="B61" s="33" t="s">
        <v>562</v>
      </c>
      <c r="C61" s="4">
        <v>120605389</v>
      </c>
      <c r="D61" s="4" t="s">
        <v>563</v>
      </c>
      <c r="E61" s="4" t="s">
        <v>33</v>
      </c>
      <c r="F61" s="68">
        <f>(57+55+55+52+56+52+57+36+29+30+30+30)/6</f>
        <v>89.833333333333329</v>
      </c>
      <c r="G61" s="4" t="s">
        <v>328</v>
      </c>
      <c r="H61" s="4" t="s">
        <v>564</v>
      </c>
      <c r="I61" s="4">
        <v>218463</v>
      </c>
      <c r="J61" s="4">
        <v>326</v>
      </c>
      <c r="K61" s="4">
        <v>84.46</v>
      </c>
      <c r="L61" s="4" t="s">
        <v>565</v>
      </c>
      <c r="M61" s="4" t="s">
        <v>328</v>
      </c>
      <c r="N61" s="4" t="s">
        <v>566</v>
      </c>
      <c r="O61" s="4">
        <f t="shared" si="0"/>
        <v>46.504992867332383</v>
      </c>
      <c r="P61" s="25">
        <v>80.28</v>
      </c>
      <c r="Q61" s="25">
        <f t="shared" si="1"/>
        <v>4.1799999999999926</v>
      </c>
      <c r="R61" s="25">
        <f t="shared" si="2"/>
        <v>17.47239999999994</v>
      </c>
    </row>
    <row r="62" spans="1:18" ht="31.5" x14ac:dyDescent="0.25">
      <c r="A62" s="4">
        <v>58</v>
      </c>
      <c r="B62" s="33" t="s">
        <v>567</v>
      </c>
      <c r="C62" s="4">
        <v>120513817</v>
      </c>
      <c r="D62" s="4" t="s">
        <v>568</v>
      </c>
      <c r="E62" s="4" t="s">
        <v>33</v>
      </c>
      <c r="F62" s="68">
        <f>(55+57+55+56+51+40+53+50+30+30+30+30)/6</f>
        <v>89.5</v>
      </c>
      <c r="G62" s="4" t="s">
        <v>328</v>
      </c>
      <c r="H62" s="4" t="s">
        <v>450</v>
      </c>
      <c r="I62" s="4">
        <v>233231</v>
      </c>
      <c r="J62" s="4">
        <v>316</v>
      </c>
      <c r="K62" s="4">
        <v>83.43</v>
      </c>
      <c r="L62" s="4" t="s">
        <v>550</v>
      </c>
      <c r="M62" s="4" t="s">
        <v>328</v>
      </c>
      <c r="N62" s="4" t="s">
        <v>569</v>
      </c>
      <c r="O62" s="4">
        <f t="shared" si="0"/>
        <v>45.078459343794577</v>
      </c>
      <c r="P62" s="25">
        <v>80.28</v>
      </c>
      <c r="Q62" s="25">
        <f t="shared" si="1"/>
        <v>3.1500000000000057</v>
      </c>
      <c r="R62" s="25">
        <f t="shared" si="2"/>
        <v>9.922500000000035</v>
      </c>
    </row>
    <row r="63" spans="1:18" ht="31.5" x14ac:dyDescent="0.25">
      <c r="A63" s="4">
        <v>59</v>
      </c>
      <c r="B63" s="33" t="s">
        <v>570</v>
      </c>
      <c r="C63" s="4">
        <v>120501092</v>
      </c>
      <c r="D63" s="4" t="s">
        <v>571</v>
      </c>
      <c r="E63" s="4" t="s">
        <v>39</v>
      </c>
      <c r="F63" s="68">
        <f>(55+54+50+55+56+48+46+43+26+30+30+25)/6</f>
        <v>86.333333333333329</v>
      </c>
      <c r="G63" s="4" t="s">
        <v>328</v>
      </c>
      <c r="H63" s="4" t="s">
        <v>362</v>
      </c>
      <c r="I63" s="4">
        <v>235376</v>
      </c>
      <c r="J63" s="4">
        <v>314</v>
      </c>
      <c r="K63" s="4">
        <v>83.22</v>
      </c>
      <c r="L63" s="4" t="s">
        <v>572</v>
      </c>
      <c r="M63" s="4" t="s">
        <v>328</v>
      </c>
      <c r="N63" s="4" t="s">
        <v>573</v>
      </c>
      <c r="O63" s="4">
        <f t="shared" si="0"/>
        <v>44.793152639087019</v>
      </c>
      <c r="P63" s="25">
        <v>80.28</v>
      </c>
      <c r="Q63" s="25">
        <f t="shared" si="1"/>
        <v>2.9399999999999977</v>
      </c>
      <c r="R63" s="25">
        <f t="shared" si="2"/>
        <v>8.6435999999999868</v>
      </c>
    </row>
    <row r="64" spans="1:18" ht="31.5" x14ac:dyDescent="0.25">
      <c r="A64" s="4">
        <v>60</v>
      </c>
      <c r="B64" s="33" t="s">
        <v>574</v>
      </c>
      <c r="C64" s="4">
        <v>120100903</v>
      </c>
      <c r="D64" s="4" t="s">
        <v>575</v>
      </c>
      <c r="E64" s="4" t="s">
        <v>33</v>
      </c>
      <c r="F64" s="68">
        <f>(60+60+50+54+60+45+53+49+28+25+30+30)/6</f>
        <v>90.666666666666671</v>
      </c>
      <c r="G64" s="4" t="s">
        <v>328</v>
      </c>
      <c r="H64" s="4" t="s">
        <v>576</v>
      </c>
      <c r="I64" s="4">
        <v>247705</v>
      </c>
      <c r="J64" s="4">
        <v>306</v>
      </c>
      <c r="K64" s="4">
        <v>82.35</v>
      </c>
      <c r="L64" s="4" t="s">
        <v>565</v>
      </c>
      <c r="M64" s="4" t="s">
        <v>328</v>
      </c>
      <c r="N64" s="4" t="s">
        <v>577</v>
      </c>
      <c r="O64" s="4">
        <f t="shared" si="0"/>
        <v>43.651925820256778</v>
      </c>
      <c r="P64" s="25">
        <v>80.28</v>
      </c>
      <c r="Q64" s="25">
        <f t="shared" si="1"/>
        <v>2.0699999999999932</v>
      </c>
      <c r="R64" s="25">
        <f t="shared" si="2"/>
        <v>4.284899999999972</v>
      </c>
    </row>
    <row r="65" spans="1:18" ht="31.5" x14ac:dyDescent="0.25">
      <c r="A65" s="4">
        <v>61</v>
      </c>
      <c r="B65" s="65" t="s">
        <v>578</v>
      </c>
      <c r="C65" s="66">
        <v>120507233</v>
      </c>
      <c r="D65" s="66" t="s">
        <v>477</v>
      </c>
      <c r="E65" s="66" t="s">
        <v>39</v>
      </c>
      <c r="F65" s="67">
        <f>542/600*100</f>
        <v>90.333333333333329</v>
      </c>
      <c r="G65" s="4" t="s">
        <v>328</v>
      </c>
      <c r="H65" s="66" t="s">
        <v>579</v>
      </c>
      <c r="I65" s="66">
        <v>250051</v>
      </c>
      <c r="J65" s="66">
        <v>305</v>
      </c>
      <c r="K65" s="66">
        <v>82.23</v>
      </c>
      <c r="L65" s="66" t="s">
        <v>545</v>
      </c>
      <c r="M65" s="4" t="s">
        <v>328</v>
      </c>
      <c r="N65" s="63" t="s">
        <v>580</v>
      </c>
      <c r="O65" s="4">
        <f t="shared" si="0"/>
        <v>43.509272467902996</v>
      </c>
      <c r="P65" s="25">
        <v>80.28</v>
      </c>
      <c r="Q65" s="25">
        <f t="shared" si="1"/>
        <v>1.9500000000000028</v>
      </c>
      <c r="R65" s="25">
        <f t="shared" si="2"/>
        <v>3.8025000000000109</v>
      </c>
    </row>
    <row r="66" spans="1:18" ht="47.25" x14ac:dyDescent="0.25">
      <c r="A66" s="4">
        <v>62</v>
      </c>
      <c r="B66" s="33" t="s">
        <v>581</v>
      </c>
      <c r="C66" s="4">
        <v>120605753</v>
      </c>
      <c r="D66" s="4" t="s">
        <v>582</v>
      </c>
      <c r="E66" s="4" t="s">
        <v>33</v>
      </c>
      <c r="F66" s="68">
        <f>(57+60+57+57+53+51+40+56+29+90)/6</f>
        <v>91.666666666666671</v>
      </c>
      <c r="G66" s="4" t="s">
        <v>328</v>
      </c>
      <c r="H66" s="4" t="s">
        <v>583</v>
      </c>
      <c r="I66" s="4">
        <v>250743</v>
      </c>
      <c r="J66" s="4">
        <v>304</v>
      </c>
      <c r="K66" s="4">
        <v>82.12</v>
      </c>
      <c r="L66" s="4" t="s">
        <v>584</v>
      </c>
      <c r="M66" s="4" t="s">
        <v>328</v>
      </c>
      <c r="N66" s="4" t="s">
        <v>585</v>
      </c>
      <c r="O66" s="4">
        <f t="shared" si="0"/>
        <v>43.366619115549213</v>
      </c>
      <c r="P66" s="25">
        <v>80.28</v>
      </c>
      <c r="Q66" s="25">
        <f t="shared" si="1"/>
        <v>1.8400000000000034</v>
      </c>
      <c r="R66" s="25">
        <f t="shared" si="2"/>
        <v>3.3856000000000126</v>
      </c>
    </row>
    <row r="67" spans="1:18" ht="31.5" x14ac:dyDescent="0.25">
      <c r="A67" s="4">
        <v>63</v>
      </c>
      <c r="B67" s="33" t="s">
        <v>586</v>
      </c>
      <c r="C67" s="4">
        <v>120610652</v>
      </c>
      <c r="D67" s="4" t="s">
        <v>587</v>
      </c>
      <c r="E67" s="4" t="s">
        <v>50</v>
      </c>
      <c r="F67" s="68">
        <f>(60+60+30+55+57+30+57+57+30+55+51+29)/6</f>
        <v>95.166666666666671</v>
      </c>
      <c r="G67" s="4" t="s">
        <v>328</v>
      </c>
      <c r="H67" s="4" t="s">
        <v>588</v>
      </c>
      <c r="I67" s="4">
        <v>271667</v>
      </c>
      <c r="J67" s="4">
        <v>290</v>
      </c>
      <c r="K67" s="4">
        <v>80.73</v>
      </c>
      <c r="L67" s="4" t="s">
        <v>545</v>
      </c>
      <c r="M67" s="4" t="s">
        <v>328</v>
      </c>
      <c r="N67" s="4" t="s">
        <v>589</v>
      </c>
      <c r="O67" s="4">
        <f t="shared" si="0"/>
        <v>41.36947218259629</v>
      </c>
      <c r="P67" s="25">
        <v>80.28</v>
      </c>
      <c r="Q67" s="25">
        <f t="shared" si="1"/>
        <v>0.45000000000000284</v>
      </c>
      <c r="R67" s="25">
        <f t="shared" si="2"/>
        <v>0.20250000000000257</v>
      </c>
    </row>
    <row r="68" spans="1:18" ht="47.25" x14ac:dyDescent="0.25">
      <c r="A68" s="4">
        <v>64</v>
      </c>
      <c r="B68" s="33" t="s">
        <v>590</v>
      </c>
      <c r="C68" s="4">
        <v>120513288</v>
      </c>
      <c r="D68" s="4" t="s">
        <v>591</v>
      </c>
      <c r="E68" s="4" t="s">
        <v>43</v>
      </c>
      <c r="F68" s="68">
        <f>582/6</f>
        <v>97</v>
      </c>
      <c r="G68" s="4" t="s">
        <v>328</v>
      </c>
      <c r="H68" s="4" t="s">
        <v>592</v>
      </c>
      <c r="I68" s="4">
        <v>277063</v>
      </c>
      <c r="J68" s="4">
        <v>288</v>
      </c>
      <c r="K68" s="4">
        <v>80.239999999999995</v>
      </c>
      <c r="L68" s="4" t="s">
        <v>584</v>
      </c>
      <c r="M68" s="4" t="s">
        <v>328</v>
      </c>
      <c r="N68" s="4" t="s">
        <v>593</v>
      </c>
      <c r="O68" s="4">
        <f t="shared" si="0"/>
        <v>41.084165477888732</v>
      </c>
      <c r="P68" s="25">
        <v>80.28</v>
      </c>
      <c r="Q68" s="25">
        <f t="shared" si="1"/>
        <v>-4.0000000000006253E-2</v>
      </c>
      <c r="R68" s="25">
        <f t="shared" si="2"/>
        <v>1.6000000000005003E-3</v>
      </c>
    </row>
    <row r="69" spans="1:18" ht="31.5" x14ac:dyDescent="0.25">
      <c r="A69" s="4">
        <v>65</v>
      </c>
      <c r="B69" s="33" t="s">
        <v>594</v>
      </c>
      <c r="C69" s="4">
        <v>120506438</v>
      </c>
      <c r="D69" s="4" t="s">
        <v>595</v>
      </c>
      <c r="E69" s="4" t="s">
        <v>33</v>
      </c>
      <c r="F69" s="68">
        <f>(57+53+59+57+57+54+59+48+90+29)/6</f>
        <v>93.833333333333329</v>
      </c>
      <c r="G69" s="4" t="s">
        <v>328</v>
      </c>
      <c r="H69" s="4" t="s">
        <v>596</v>
      </c>
      <c r="I69" s="4">
        <v>278876</v>
      </c>
      <c r="J69" s="4">
        <v>287</v>
      </c>
      <c r="K69" s="4">
        <v>80.12</v>
      </c>
      <c r="L69" s="4" t="s">
        <v>584</v>
      </c>
      <c r="M69" s="4" t="s">
        <v>328</v>
      </c>
      <c r="N69" s="4" t="s">
        <v>597</v>
      </c>
      <c r="O69" s="4">
        <f t="shared" si="0"/>
        <v>40.941512125534949</v>
      </c>
      <c r="P69" s="25">
        <v>80.28</v>
      </c>
      <c r="Q69" s="25">
        <f t="shared" si="1"/>
        <v>-0.15999999999999659</v>
      </c>
      <c r="R69" s="25">
        <f t="shared" si="2"/>
        <v>2.5599999999998908E-2</v>
      </c>
    </row>
    <row r="70" spans="1:18" ht="31.5" x14ac:dyDescent="0.25">
      <c r="A70" s="4">
        <v>66</v>
      </c>
      <c r="B70" s="33" t="s">
        <v>598</v>
      </c>
      <c r="C70" s="4">
        <v>120102832</v>
      </c>
      <c r="D70" s="4" t="s">
        <v>575</v>
      </c>
      <c r="E70" s="4" t="s">
        <v>382</v>
      </c>
      <c r="F70" s="68">
        <f>(55+39+53+47+56+48+52+37+29+29+30+30)/6</f>
        <v>84.166666666666671</v>
      </c>
      <c r="G70" s="4" t="s">
        <v>328</v>
      </c>
      <c r="H70" s="4" t="s">
        <v>599</v>
      </c>
      <c r="I70" s="4">
        <v>306069</v>
      </c>
      <c r="J70" s="4">
        <v>272</v>
      </c>
      <c r="K70" s="4">
        <v>78.239999999999995</v>
      </c>
      <c r="L70" s="4" t="s">
        <v>545</v>
      </c>
      <c r="M70" s="4" t="s">
        <v>328</v>
      </c>
      <c r="N70" s="4" t="s">
        <v>600</v>
      </c>
      <c r="O70" s="4">
        <f t="shared" ref="O70:O104" si="3">J70*100/701</f>
        <v>38.801711840228243</v>
      </c>
      <c r="P70" s="25">
        <v>80.28</v>
      </c>
      <c r="Q70" s="25">
        <f t="shared" ref="Q70:Q104" si="4">K70-P70</f>
        <v>-2.0400000000000063</v>
      </c>
      <c r="R70" s="25">
        <f t="shared" ref="R70:R104" si="5">Q70*Q70</f>
        <v>4.1616000000000257</v>
      </c>
    </row>
    <row r="71" spans="1:18" ht="18" customHeight="1" x14ac:dyDescent="0.25">
      <c r="A71" s="4">
        <v>67</v>
      </c>
      <c r="B71" s="33" t="s">
        <v>601</v>
      </c>
      <c r="C71" s="4">
        <v>120504167</v>
      </c>
      <c r="D71" s="4" t="s">
        <v>602</v>
      </c>
      <c r="E71" s="4" t="s">
        <v>50</v>
      </c>
      <c r="F71" s="68">
        <f>513/600*100</f>
        <v>85.5</v>
      </c>
      <c r="G71" s="4" t="s">
        <v>328</v>
      </c>
      <c r="H71" s="4" t="s">
        <v>140</v>
      </c>
      <c r="I71" s="4">
        <v>308812</v>
      </c>
      <c r="J71" s="4">
        <v>270</v>
      </c>
      <c r="K71" s="4">
        <v>77.97</v>
      </c>
      <c r="L71" s="4" t="s">
        <v>545</v>
      </c>
      <c r="M71" s="4" t="s">
        <v>328</v>
      </c>
      <c r="N71" s="4" t="s">
        <v>603</v>
      </c>
      <c r="O71" s="4">
        <f t="shared" si="3"/>
        <v>38.516405135520685</v>
      </c>
      <c r="P71" s="25">
        <v>80.28</v>
      </c>
      <c r="Q71" s="25">
        <f t="shared" si="4"/>
        <v>-2.3100000000000023</v>
      </c>
      <c r="R71" s="25">
        <f t="shared" si="5"/>
        <v>5.3361000000000107</v>
      </c>
    </row>
    <row r="72" spans="1:18" ht="31.5" x14ac:dyDescent="0.25">
      <c r="A72" s="4">
        <v>68</v>
      </c>
      <c r="B72" s="33" t="s">
        <v>604</v>
      </c>
      <c r="C72" s="4">
        <v>120501179</v>
      </c>
      <c r="D72" s="4" t="s">
        <v>605</v>
      </c>
      <c r="E72" s="4" t="s">
        <v>41</v>
      </c>
      <c r="F72" s="68">
        <f>(60+60+59+54+27+32+45+52+30+30+24+29)/6</f>
        <v>83.666666666666671</v>
      </c>
      <c r="G72" s="4" t="s">
        <v>328</v>
      </c>
      <c r="H72" s="4" t="s">
        <v>606</v>
      </c>
      <c r="I72" s="4">
        <v>320346</v>
      </c>
      <c r="J72" s="4">
        <v>264</v>
      </c>
      <c r="K72" s="4">
        <v>77.17</v>
      </c>
      <c r="L72" s="4" t="s">
        <v>545</v>
      </c>
      <c r="M72" s="4" t="s">
        <v>328</v>
      </c>
      <c r="N72" s="4" t="s">
        <v>607</v>
      </c>
      <c r="O72" s="4">
        <f t="shared" si="3"/>
        <v>37.660485021398003</v>
      </c>
      <c r="P72" s="25">
        <v>80.28</v>
      </c>
      <c r="Q72" s="25">
        <f t="shared" si="4"/>
        <v>-3.1099999999999994</v>
      </c>
      <c r="R72" s="25">
        <f t="shared" si="5"/>
        <v>9.6720999999999968</v>
      </c>
    </row>
    <row r="73" spans="1:18" ht="31.5" x14ac:dyDescent="0.25">
      <c r="A73" s="4">
        <v>69</v>
      </c>
      <c r="B73" s="65" t="s">
        <v>608</v>
      </c>
      <c r="C73" s="66">
        <v>120609592</v>
      </c>
      <c r="D73" s="66" t="s">
        <v>609</v>
      </c>
      <c r="E73" s="66" t="s">
        <v>39</v>
      </c>
      <c r="F73" s="66">
        <f>(60+56+59+51+59+60+60+53+29+28+29+29)/6</f>
        <v>95.5</v>
      </c>
      <c r="G73" s="4" t="s">
        <v>328</v>
      </c>
      <c r="H73" s="66" t="s">
        <v>610</v>
      </c>
      <c r="I73" s="66">
        <v>324897</v>
      </c>
      <c r="J73" s="66">
        <v>262</v>
      </c>
      <c r="K73" s="66">
        <v>76.900000000000006</v>
      </c>
      <c r="L73" s="4" t="s">
        <v>545</v>
      </c>
      <c r="M73" s="4" t="s">
        <v>328</v>
      </c>
      <c r="N73" s="63" t="s">
        <v>611</v>
      </c>
      <c r="O73" s="4">
        <f t="shared" si="3"/>
        <v>37.375178316690445</v>
      </c>
      <c r="P73" s="25">
        <v>80.28</v>
      </c>
      <c r="Q73" s="25">
        <f t="shared" si="4"/>
        <v>-3.3799999999999955</v>
      </c>
      <c r="R73" s="25">
        <f t="shared" si="5"/>
        <v>11.42439999999997</v>
      </c>
    </row>
    <row r="74" spans="1:18" ht="31.5" x14ac:dyDescent="0.25">
      <c r="A74" s="4">
        <v>70</v>
      </c>
      <c r="B74" s="33" t="s">
        <v>612</v>
      </c>
      <c r="C74" s="4">
        <v>120513092</v>
      </c>
      <c r="D74" s="4" t="s">
        <v>338</v>
      </c>
      <c r="E74" s="4" t="s">
        <v>41</v>
      </c>
      <c r="F74" s="68">
        <f>(60+59+28+60+60+27+60+56+30+58+55+27)/6</f>
        <v>96.666666666666671</v>
      </c>
      <c r="G74" s="4" t="s">
        <v>328</v>
      </c>
      <c r="H74" s="4" t="s">
        <v>613</v>
      </c>
      <c r="I74" s="4">
        <v>342189</v>
      </c>
      <c r="J74" s="4">
        <v>252</v>
      </c>
      <c r="K74" s="4">
        <v>75.64</v>
      </c>
      <c r="L74" s="4" t="s">
        <v>545</v>
      </c>
      <c r="M74" s="4" t="s">
        <v>328</v>
      </c>
      <c r="N74" s="4" t="s">
        <v>614</v>
      </c>
      <c r="O74" s="4">
        <f t="shared" si="3"/>
        <v>35.948644793152638</v>
      </c>
      <c r="P74" s="25">
        <v>80.28</v>
      </c>
      <c r="Q74" s="25">
        <f t="shared" si="4"/>
        <v>-4.6400000000000006</v>
      </c>
      <c r="R74" s="25">
        <f t="shared" si="5"/>
        <v>21.529600000000006</v>
      </c>
    </row>
    <row r="75" spans="1:18" ht="47.25" x14ac:dyDescent="0.25">
      <c r="A75" s="4">
        <v>71</v>
      </c>
      <c r="B75" s="33" t="s">
        <v>615</v>
      </c>
      <c r="C75" s="4">
        <v>420117916</v>
      </c>
      <c r="D75" s="4" t="s">
        <v>616</v>
      </c>
      <c r="E75" s="4" t="s">
        <v>33</v>
      </c>
      <c r="F75" s="68">
        <f>(52+58+57+47+51+60+47+52+120)/6</f>
        <v>90.666666666666671</v>
      </c>
      <c r="G75" s="4" t="s">
        <v>328</v>
      </c>
      <c r="H75" s="4" t="s">
        <v>617</v>
      </c>
      <c r="I75" s="4">
        <v>348149</v>
      </c>
      <c r="J75" s="4">
        <v>250</v>
      </c>
      <c r="K75" s="4">
        <v>75.2</v>
      </c>
      <c r="L75" s="4" t="s">
        <v>584</v>
      </c>
      <c r="M75" s="4" t="s">
        <v>328</v>
      </c>
      <c r="N75" s="4" t="s">
        <v>618</v>
      </c>
      <c r="O75" s="4">
        <f t="shared" si="3"/>
        <v>35.66333808844508</v>
      </c>
      <c r="P75" s="25">
        <v>80.28</v>
      </c>
      <c r="Q75" s="25">
        <f t="shared" si="4"/>
        <v>-5.0799999999999983</v>
      </c>
      <c r="R75" s="25">
        <f t="shared" si="5"/>
        <v>25.806399999999982</v>
      </c>
    </row>
    <row r="76" spans="1:18" ht="31.5" x14ac:dyDescent="0.25">
      <c r="A76" s="4">
        <v>72</v>
      </c>
      <c r="B76" s="65" t="s">
        <v>619</v>
      </c>
      <c r="C76" s="66">
        <v>120609119</v>
      </c>
      <c r="D76" s="66" t="s">
        <v>620</v>
      </c>
      <c r="E76" s="66" t="s">
        <v>382</v>
      </c>
      <c r="F76" s="66">
        <f>573/6</f>
        <v>95.5</v>
      </c>
      <c r="G76" s="4" t="s">
        <v>328</v>
      </c>
      <c r="H76" s="66" t="s">
        <v>621</v>
      </c>
      <c r="I76" s="66">
        <v>358676</v>
      </c>
      <c r="J76" s="66">
        <v>245</v>
      </c>
      <c r="K76" s="66">
        <v>74.459999999999994</v>
      </c>
      <c r="L76" s="4" t="s">
        <v>545</v>
      </c>
      <c r="M76" s="4" t="s">
        <v>328</v>
      </c>
      <c r="N76" s="63" t="s">
        <v>622</v>
      </c>
      <c r="O76" s="4">
        <f t="shared" si="3"/>
        <v>34.950071326676174</v>
      </c>
      <c r="P76" s="25">
        <v>80.28</v>
      </c>
      <c r="Q76" s="25">
        <f t="shared" si="4"/>
        <v>-5.8200000000000074</v>
      </c>
      <c r="R76" s="25">
        <f t="shared" si="5"/>
        <v>33.872400000000084</v>
      </c>
    </row>
    <row r="77" spans="1:18" ht="31.5" x14ac:dyDescent="0.25">
      <c r="A77" s="4">
        <v>73</v>
      </c>
      <c r="B77" s="33" t="s">
        <v>623</v>
      </c>
      <c r="C77" s="4">
        <v>270216941</v>
      </c>
      <c r="D77" s="4" t="s">
        <v>624</v>
      </c>
      <c r="E77" s="4" t="s">
        <v>50</v>
      </c>
      <c r="F77" s="68">
        <f>(58+59+60+57+53+59+58+55+29+27+29+28)/6</f>
        <v>95.333333333333329</v>
      </c>
      <c r="G77" s="4" t="s">
        <v>328</v>
      </c>
      <c r="H77" s="4" t="s">
        <v>625</v>
      </c>
      <c r="I77" s="4">
        <v>365709</v>
      </c>
      <c r="J77" s="4">
        <v>242</v>
      </c>
      <c r="K77" s="4">
        <v>74.02</v>
      </c>
      <c r="L77" s="4" t="s">
        <v>545</v>
      </c>
      <c r="M77" s="4" t="s">
        <v>328</v>
      </c>
      <c r="N77" s="4" t="s">
        <v>626</v>
      </c>
      <c r="O77" s="4">
        <f t="shared" si="3"/>
        <v>34.522111269614832</v>
      </c>
      <c r="P77" s="25">
        <v>80.28</v>
      </c>
      <c r="Q77" s="25">
        <f t="shared" si="4"/>
        <v>-6.2600000000000051</v>
      </c>
      <c r="R77" s="25">
        <f t="shared" si="5"/>
        <v>39.187600000000067</v>
      </c>
    </row>
    <row r="78" spans="1:18" ht="31.5" x14ac:dyDescent="0.25">
      <c r="A78" s="4">
        <v>74</v>
      </c>
      <c r="B78" s="33" t="s">
        <v>627</v>
      </c>
      <c r="C78" s="4">
        <v>120608939</v>
      </c>
      <c r="D78" s="4" t="s">
        <v>628</v>
      </c>
      <c r="E78" s="4" t="s">
        <v>37</v>
      </c>
      <c r="F78" s="68">
        <f>552/6</f>
        <v>92</v>
      </c>
      <c r="G78" s="4" t="s">
        <v>328</v>
      </c>
      <c r="H78" s="4" t="s">
        <v>629</v>
      </c>
      <c r="I78" s="4">
        <v>370922</v>
      </c>
      <c r="J78" s="4">
        <v>239</v>
      </c>
      <c r="K78" s="4">
        <v>73.56</v>
      </c>
      <c r="L78" s="4" t="s">
        <v>545</v>
      </c>
      <c r="M78" s="4" t="s">
        <v>328</v>
      </c>
      <c r="N78" s="4" t="s">
        <v>630</v>
      </c>
      <c r="O78" s="4">
        <f t="shared" si="3"/>
        <v>34.094151212553498</v>
      </c>
      <c r="P78" s="25">
        <v>80.28</v>
      </c>
      <c r="Q78" s="25">
        <f t="shared" si="4"/>
        <v>-6.7199999999999989</v>
      </c>
      <c r="R78" s="25">
        <f t="shared" si="5"/>
        <v>45.158399999999986</v>
      </c>
    </row>
    <row r="79" spans="1:18" ht="31.5" x14ac:dyDescent="0.25">
      <c r="A79" s="4">
        <v>75</v>
      </c>
      <c r="B79" s="33" t="s">
        <v>631</v>
      </c>
      <c r="C79" s="4">
        <v>120507714</v>
      </c>
      <c r="D79" s="4" t="s">
        <v>632</v>
      </c>
      <c r="E79" s="4" t="s">
        <v>39</v>
      </c>
      <c r="F79" s="68">
        <f>516/6</f>
        <v>86</v>
      </c>
      <c r="G79" s="4" t="s">
        <v>328</v>
      </c>
      <c r="H79" s="4" t="s">
        <v>633</v>
      </c>
      <c r="I79" s="4">
        <v>378896</v>
      </c>
      <c r="J79" s="4">
        <v>236</v>
      </c>
      <c r="K79" s="4">
        <v>73.09</v>
      </c>
      <c r="L79" s="4" t="s">
        <v>634</v>
      </c>
      <c r="M79" s="4" t="s">
        <v>328</v>
      </c>
      <c r="N79" s="4" t="s">
        <v>635</v>
      </c>
      <c r="O79" s="4">
        <f t="shared" si="3"/>
        <v>33.666191155492157</v>
      </c>
      <c r="P79" s="25">
        <v>80.28</v>
      </c>
      <c r="Q79" s="25">
        <f t="shared" si="4"/>
        <v>-7.1899999999999977</v>
      </c>
      <c r="R79" s="25">
        <f t="shared" si="5"/>
        <v>51.696099999999966</v>
      </c>
    </row>
    <row r="80" spans="1:18" ht="31.5" x14ac:dyDescent="0.25">
      <c r="A80" s="4">
        <v>76</v>
      </c>
      <c r="B80" s="33" t="s">
        <v>636</v>
      </c>
      <c r="C80" s="4">
        <v>120515229</v>
      </c>
      <c r="D80" s="4" t="s">
        <v>444</v>
      </c>
      <c r="E80" s="4" t="s">
        <v>33</v>
      </c>
      <c r="F80" s="68">
        <f>(57+54+48+57+49+48+41+56+28+22+29+30)/6</f>
        <v>86.5</v>
      </c>
      <c r="G80" s="4" t="s">
        <v>328</v>
      </c>
      <c r="H80" s="4" t="s">
        <v>637</v>
      </c>
      <c r="I80" s="4">
        <v>422653</v>
      </c>
      <c r="J80" s="4">
        <v>217</v>
      </c>
      <c r="K80" s="4">
        <v>69.94</v>
      </c>
      <c r="L80" s="4" t="s">
        <v>584</v>
      </c>
      <c r="M80" s="4" t="s">
        <v>328</v>
      </c>
      <c r="N80" s="4" t="s">
        <v>638</v>
      </c>
      <c r="O80" s="4">
        <f t="shared" si="3"/>
        <v>30.955777460770328</v>
      </c>
      <c r="P80" s="25">
        <v>80.28</v>
      </c>
      <c r="Q80" s="25">
        <f t="shared" si="4"/>
        <v>-10.340000000000003</v>
      </c>
      <c r="R80" s="25">
        <f t="shared" si="5"/>
        <v>106.91560000000007</v>
      </c>
    </row>
    <row r="81" spans="1:18" ht="31.5" x14ac:dyDescent="0.25">
      <c r="A81" s="4">
        <v>77</v>
      </c>
      <c r="B81" s="33" t="s">
        <v>639</v>
      </c>
      <c r="C81" s="4">
        <v>120610470</v>
      </c>
      <c r="D81" s="4" t="s">
        <v>518</v>
      </c>
      <c r="E81" s="4" t="s">
        <v>33</v>
      </c>
      <c r="F81" s="68">
        <f>(59+55+58+51+59+60+54+50+29+29+28+27)/6</f>
        <v>93.166666666666671</v>
      </c>
      <c r="G81" s="4" t="s">
        <v>328</v>
      </c>
      <c r="H81" s="4" t="s">
        <v>640</v>
      </c>
      <c r="I81" s="4">
        <v>455498</v>
      </c>
      <c r="J81" s="4">
        <v>204</v>
      </c>
      <c r="K81" s="4">
        <v>67.55</v>
      </c>
      <c r="L81" s="4" t="s">
        <v>545</v>
      </c>
      <c r="M81" s="4" t="s">
        <v>328</v>
      </c>
      <c r="N81" s="4" t="s">
        <v>641</v>
      </c>
      <c r="O81" s="4">
        <f t="shared" si="3"/>
        <v>29.101283880171184</v>
      </c>
      <c r="P81" s="25">
        <v>80.28</v>
      </c>
      <c r="Q81" s="25">
        <f t="shared" si="4"/>
        <v>-12.730000000000004</v>
      </c>
      <c r="R81" s="25">
        <f t="shared" si="5"/>
        <v>162.05290000000011</v>
      </c>
    </row>
    <row r="82" spans="1:18" ht="31.5" x14ac:dyDescent="0.25">
      <c r="A82" s="4">
        <v>78</v>
      </c>
      <c r="B82" s="33" t="s">
        <v>642</v>
      </c>
      <c r="C82" s="4">
        <v>120516324</v>
      </c>
      <c r="D82" s="4" t="s">
        <v>643</v>
      </c>
      <c r="E82" s="4" t="s">
        <v>33</v>
      </c>
      <c r="F82" s="68">
        <f>230/300*100</f>
        <v>76.666666666666671</v>
      </c>
      <c r="G82" s="4" t="s">
        <v>328</v>
      </c>
      <c r="H82" s="4" t="s">
        <v>644</v>
      </c>
      <c r="I82" s="4">
        <v>469536</v>
      </c>
      <c r="J82" s="4">
        <v>199</v>
      </c>
      <c r="K82" s="4">
        <v>66.58</v>
      </c>
      <c r="L82" s="4" t="s">
        <v>540</v>
      </c>
      <c r="M82" s="4" t="s">
        <v>328</v>
      </c>
      <c r="N82" s="4" t="s">
        <v>645</v>
      </c>
      <c r="O82" s="4">
        <f t="shared" si="3"/>
        <v>28.388017118402281</v>
      </c>
      <c r="P82" s="25">
        <v>80.28</v>
      </c>
      <c r="Q82" s="25">
        <f t="shared" si="4"/>
        <v>-13.700000000000003</v>
      </c>
      <c r="R82" s="25">
        <f t="shared" si="5"/>
        <v>187.69000000000008</v>
      </c>
    </row>
    <row r="83" spans="1:18" ht="47.25" x14ac:dyDescent="0.25">
      <c r="A83" s="4">
        <v>79</v>
      </c>
      <c r="B83" s="65" t="s">
        <v>646</v>
      </c>
      <c r="C83" s="66">
        <v>120107911</v>
      </c>
      <c r="D83" s="4" t="s">
        <v>647</v>
      </c>
      <c r="E83" s="4" t="s">
        <v>50</v>
      </c>
      <c r="F83" s="68">
        <f>(51+56+51+45+54+58+45+48+28+22+28+21)/6</f>
        <v>84.5</v>
      </c>
      <c r="G83" s="4" t="s">
        <v>328</v>
      </c>
      <c r="H83" s="4" t="s">
        <v>648</v>
      </c>
      <c r="I83" s="4">
        <v>488362</v>
      </c>
      <c r="J83" s="4">
        <v>192</v>
      </c>
      <c r="K83" s="4">
        <v>65.19</v>
      </c>
      <c r="L83" s="4" t="s">
        <v>649</v>
      </c>
      <c r="M83" s="4" t="s">
        <v>328</v>
      </c>
      <c r="N83" s="4" t="s">
        <v>650</v>
      </c>
      <c r="O83" s="4">
        <f t="shared" si="3"/>
        <v>27.38944365192582</v>
      </c>
      <c r="P83" s="25">
        <v>80.28</v>
      </c>
      <c r="Q83" s="25">
        <f t="shared" si="4"/>
        <v>-15.090000000000003</v>
      </c>
      <c r="R83" s="25">
        <f t="shared" si="5"/>
        <v>227.70810000000012</v>
      </c>
    </row>
    <row r="84" spans="1:18" ht="47.25" x14ac:dyDescent="0.25">
      <c r="A84" s="4">
        <v>80</v>
      </c>
      <c r="B84" s="33" t="s">
        <v>651</v>
      </c>
      <c r="C84" s="4">
        <v>120606656</v>
      </c>
      <c r="D84" s="4" t="s">
        <v>652</v>
      </c>
      <c r="E84" s="4" t="s">
        <v>37</v>
      </c>
      <c r="F84" s="68">
        <f>(56+60+55+51+55+48+45+33+27+30+26+26)/6</f>
        <v>85.333333333333329</v>
      </c>
      <c r="G84" s="4" t="s">
        <v>328</v>
      </c>
      <c r="H84" s="4" t="s">
        <v>653</v>
      </c>
      <c r="I84" s="4">
        <v>512881</v>
      </c>
      <c r="J84" s="4">
        <v>184</v>
      </c>
      <c r="K84" s="4">
        <v>63.47</v>
      </c>
      <c r="L84" s="4" t="s">
        <v>649</v>
      </c>
      <c r="M84" s="4" t="s">
        <v>328</v>
      </c>
      <c r="N84" s="4" t="s">
        <v>654</v>
      </c>
      <c r="O84" s="4">
        <f t="shared" si="3"/>
        <v>26.248216833095579</v>
      </c>
      <c r="P84" s="25">
        <v>80.28</v>
      </c>
      <c r="Q84" s="25">
        <f t="shared" si="4"/>
        <v>-16.810000000000002</v>
      </c>
      <c r="R84" s="25">
        <f t="shared" si="5"/>
        <v>282.57610000000005</v>
      </c>
    </row>
    <row r="85" spans="1:18" ht="31.5" x14ac:dyDescent="0.25">
      <c r="A85" s="4">
        <v>81</v>
      </c>
      <c r="B85" s="33" t="s">
        <v>655</v>
      </c>
      <c r="C85" s="4">
        <v>120503375</v>
      </c>
      <c r="D85" s="4" t="s">
        <v>656</v>
      </c>
      <c r="E85" s="4" t="s">
        <v>33</v>
      </c>
      <c r="F85" s="68">
        <f>501/6</f>
        <v>83.5</v>
      </c>
      <c r="G85" s="4" t="s">
        <v>328</v>
      </c>
      <c r="H85" s="4" t="s">
        <v>657</v>
      </c>
      <c r="I85" s="4">
        <v>551199</v>
      </c>
      <c r="J85" s="4">
        <v>172</v>
      </c>
      <c r="K85" s="4">
        <v>60.76</v>
      </c>
      <c r="L85" s="4" t="s">
        <v>584</v>
      </c>
      <c r="M85" s="4" t="s">
        <v>328</v>
      </c>
      <c r="N85" s="4" t="s">
        <v>658</v>
      </c>
      <c r="O85" s="4">
        <f t="shared" si="3"/>
        <v>24.536376604850215</v>
      </c>
      <c r="P85" s="25">
        <v>80.28</v>
      </c>
      <c r="Q85" s="25">
        <f t="shared" si="4"/>
        <v>-19.520000000000003</v>
      </c>
      <c r="R85" s="25">
        <f t="shared" si="5"/>
        <v>381.0304000000001</v>
      </c>
    </row>
    <row r="86" spans="1:18" ht="31.5" x14ac:dyDescent="0.25">
      <c r="A86" s="4">
        <v>82</v>
      </c>
      <c r="B86" s="33" t="s">
        <v>659</v>
      </c>
      <c r="C86" s="4">
        <v>120604753</v>
      </c>
      <c r="D86" s="4" t="s">
        <v>660</v>
      </c>
      <c r="E86" s="4" t="s">
        <v>33</v>
      </c>
      <c r="F86" s="68">
        <f>524/6</f>
        <v>87.333333333333329</v>
      </c>
      <c r="G86" s="4" t="s">
        <v>328</v>
      </c>
      <c r="H86" s="4" t="s">
        <v>661</v>
      </c>
      <c r="I86" s="4">
        <v>581971</v>
      </c>
      <c r="J86" s="4">
        <v>163</v>
      </c>
      <c r="K86" s="4">
        <v>58.53</v>
      </c>
      <c r="L86" s="4" t="s">
        <v>584</v>
      </c>
      <c r="M86" s="4" t="s">
        <v>328</v>
      </c>
      <c r="N86" s="4" t="s">
        <v>662</v>
      </c>
      <c r="O86" s="4">
        <f t="shared" si="3"/>
        <v>23.252496433666192</v>
      </c>
      <c r="P86" s="25">
        <v>80.28</v>
      </c>
      <c r="Q86" s="25">
        <f t="shared" si="4"/>
        <v>-21.75</v>
      </c>
      <c r="R86" s="25">
        <f t="shared" si="5"/>
        <v>473.0625</v>
      </c>
    </row>
    <row r="87" spans="1:18" ht="31.5" x14ac:dyDescent="0.25">
      <c r="A87" s="4">
        <v>83</v>
      </c>
      <c r="B87" s="33" t="s">
        <v>663</v>
      </c>
      <c r="C87" s="4">
        <v>120302619</v>
      </c>
      <c r="D87" s="4" t="s">
        <v>664</v>
      </c>
      <c r="E87" s="4" t="s">
        <v>33</v>
      </c>
      <c r="F87" s="68">
        <f>411/6</f>
        <v>68.5</v>
      </c>
      <c r="G87" s="4" t="s">
        <v>328</v>
      </c>
      <c r="H87" s="4" t="s">
        <v>665</v>
      </c>
      <c r="I87" s="4">
        <v>592564</v>
      </c>
      <c r="J87" s="4">
        <v>160</v>
      </c>
      <c r="K87" s="4">
        <v>57.73</v>
      </c>
      <c r="L87" s="4" t="s">
        <v>572</v>
      </c>
      <c r="M87" s="4" t="s">
        <v>328</v>
      </c>
      <c r="N87" s="4" t="s">
        <v>666</v>
      </c>
      <c r="O87" s="4">
        <f t="shared" si="3"/>
        <v>22.824536376604851</v>
      </c>
      <c r="P87" s="25">
        <v>80.28</v>
      </c>
      <c r="Q87" s="25">
        <f t="shared" si="4"/>
        <v>-22.550000000000004</v>
      </c>
      <c r="R87" s="25">
        <f t="shared" si="5"/>
        <v>508.50250000000017</v>
      </c>
    </row>
    <row r="88" spans="1:18" ht="31.5" x14ac:dyDescent="0.25">
      <c r="A88" s="4">
        <v>84</v>
      </c>
      <c r="B88" s="33" t="s">
        <v>667</v>
      </c>
      <c r="C88" s="4">
        <v>120105017</v>
      </c>
      <c r="D88" s="4" t="s">
        <v>668</v>
      </c>
      <c r="E88" s="4" t="s">
        <v>37</v>
      </c>
      <c r="F88" s="68">
        <f>(50+50+60+50+50+40+60+30+120)/6</f>
        <v>85</v>
      </c>
      <c r="G88" s="4" t="s">
        <v>328</v>
      </c>
      <c r="H88" s="4" t="s">
        <v>60</v>
      </c>
      <c r="I88" s="4">
        <v>646463</v>
      </c>
      <c r="J88" s="4">
        <v>146</v>
      </c>
      <c r="K88" s="4">
        <v>53.9</v>
      </c>
      <c r="L88" s="4" t="s">
        <v>649</v>
      </c>
      <c r="M88" s="4" t="s">
        <v>328</v>
      </c>
      <c r="N88" s="4" t="s">
        <v>669</v>
      </c>
      <c r="O88" s="4">
        <f t="shared" si="3"/>
        <v>20.827389443651924</v>
      </c>
      <c r="P88" s="25">
        <v>80.28</v>
      </c>
      <c r="Q88" s="25">
        <f t="shared" si="4"/>
        <v>-26.380000000000003</v>
      </c>
      <c r="R88" s="25">
        <f t="shared" si="5"/>
        <v>695.90440000000012</v>
      </c>
    </row>
    <row r="89" spans="1:18" ht="15.75" x14ac:dyDescent="0.25">
      <c r="A89" s="4">
        <v>85</v>
      </c>
      <c r="B89" s="33" t="s">
        <v>670</v>
      </c>
      <c r="C89" s="4">
        <v>120609201</v>
      </c>
      <c r="D89" s="4" t="s">
        <v>671</v>
      </c>
      <c r="E89" s="4" t="s">
        <v>39</v>
      </c>
      <c r="F89" s="68">
        <f>417/6</f>
        <v>69.5</v>
      </c>
      <c r="G89" s="4" t="s">
        <v>328</v>
      </c>
      <c r="H89" s="4" t="s">
        <v>672</v>
      </c>
      <c r="I89" s="4">
        <v>826300</v>
      </c>
      <c r="J89" s="4">
        <v>110</v>
      </c>
      <c r="K89" s="4">
        <v>41.18</v>
      </c>
      <c r="L89" s="4" t="s">
        <v>540</v>
      </c>
      <c r="M89" s="4" t="s">
        <v>328</v>
      </c>
      <c r="N89" s="4">
        <v>9989242939</v>
      </c>
      <c r="O89" s="4">
        <f t="shared" si="3"/>
        <v>15.691868758915835</v>
      </c>
      <c r="P89" s="25">
        <v>80.28</v>
      </c>
      <c r="Q89" s="25">
        <f t="shared" si="4"/>
        <v>-39.1</v>
      </c>
      <c r="R89" s="25">
        <f t="shared" si="5"/>
        <v>1528.8100000000002</v>
      </c>
    </row>
    <row r="90" spans="1:18" ht="31.5" x14ac:dyDescent="0.25">
      <c r="A90" s="4">
        <v>86</v>
      </c>
      <c r="B90" s="33" t="s">
        <v>673</v>
      </c>
      <c r="C90" s="4">
        <v>120512780</v>
      </c>
      <c r="D90" s="4" t="s">
        <v>674</v>
      </c>
      <c r="E90" s="4" t="s">
        <v>50</v>
      </c>
      <c r="F90" s="68">
        <f>(60+57+54+54+60+59+59+49+29+26+25+30)/6</f>
        <v>93.666666666666671</v>
      </c>
      <c r="G90" s="4" t="s">
        <v>328</v>
      </c>
      <c r="H90" s="4" t="s">
        <v>675</v>
      </c>
      <c r="I90" s="4">
        <v>327987</v>
      </c>
      <c r="J90" s="4">
        <v>260</v>
      </c>
      <c r="K90" s="4">
        <v>76.62</v>
      </c>
      <c r="L90" s="4" t="s">
        <v>545</v>
      </c>
      <c r="M90" s="4" t="s">
        <v>328</v>
      </c>
      <c r="N90" s="116"/>
      <c r="O90" s="4">
        <f t="shared" si="3"/>
        <v>37.089871611982879</v>
      </c>
      <c r="P90" s="25">
        <v>80.28</v>
      </c>
      <c r="Q90" s="25">
        <f t="shared" si="4"/>
        <v>-3.6599999999999966</v>
      </c>
      <c r="R90" s="25">
        <f t="shared" si="5"/>
        <v>13.395599999999975</v>
      </c>
    </row>
    <row r="91" spans="1:18" ht="31.5" x14ac:dyDescent="0.25">
      <c r="A91" s="4">
        <v>87</v>
      </c>
      <c r="B91" s="33" t="s">
        <v>676</v>
      </c>
      <c r="C91" s="4">
        <v>120601810</v>
      </c>
      <c r="D91" s="4" t="s">
        <v>677</v>
      </c>
      <c r="E91" s="69" t="s">
        <v>39</v>
      </c>
      <c r="F91" s="68">
        <f>(60+56+55+55+59+57+56+60+29+30+24+28)/6</f>
        <v>94.833333333333329</v>
      </c>
      <c r="G91" s="4" t="s">
        <v>328</v>
      </c>
      <c r="H91" s="4" t="s">
        <v>678</v>
      </c>
      <c r="I91" s="4">
        <v>378953</v>
      </c>
      <c r="J91" s="4">
        <v>236</v>
      </c>
      <c r="K91" s="4">
        <v>73.09</v>
      </c>
      <c r="L91" s="4" t="s">
        <v>545</v>
      </c>
      <c r="M91" s="4" t="s">
        <v>328</v>
      </c>
      <c r="N91" s="116" t="s">
        <v>679</v>
      </c>
      <c r="O91" s="4">
        <f t="shared" si="3"/>
        <v>33.666191155492157</v>
      </c>
      <c r="P91" s="25">
        <v>80.28</v>
      </c>
      <c r="Q91" s="25">
        <f t="shared" si="4"/>
        <v>-7.1899999999999977</v>
      </c>
      <c r="R91" s="25">
        <f t="shared" si="5"/>
        <v>51.696099999999966</v>
      </c>
    </row>
    <row r="92" spans="1:18" ht="15.75" x14ac:dyDescent="0.25">
      <c r="A92" s="4">
        <v>88</v>
      </c>
      <c r="B92" s="70" t="s">
        <v>680</v>
      </c>
      <c r="C92" s="4">
        <v>410112783</v>
      </c>
      <c r="D92" s="4" t="s">
        <v>681</v>
      </c>
      <c r="E92" s="69" t="s">
        <v>682</v>
      </c>
      <c r="F92" s="68">
        <f>(51+42+48+45+52+45+52+55+26+30+29+28)/6</f>
        <v>83.833333333333329</v>
      </c>
      <c r="G92" s="4" t="s">
        <v>328</v>
      </c>
      <c r="H92" s="4" t="s">
        <v>683</v>
      </c>
      <c r="I92" s="4">
        <v>468721</v>
      </c>
      <c r="J92" s="4">
        <v>199</v>
      </c>
      <c r="K92" s="4">
        <v>66.58</v>
      </c>
      <c r="L92" s="4" t="s">
        <v>545</v>
      </c>
      <c r="M92" s="4" t="s">
        <v>328</v>
      </c>
      <c r="N92" s="116">
        <v>9160077888</v>
      </c>
      <c r="O92" s="4">
        <f t="shared" si="3"/>
        <v>28.388017118402281</v>
      </c>
      <c r="P92" s="25">
        <v>80.28</v>
      </c>
      <c r="Q92" s="25">
        <f t="shared" si="4"/>
        <v>-13.700000000000003</v>
      </c>
      <c r="R92" s="25">
        <f t="shared" si="5"/>
        <v>187.69000000000008</v>
      </c>
    </row>
    <row r="93" spans="1:18" ht="31.5" x14ac:dyDescent="0.25">
      <c r="A93" s="4">
        <v>89</v>
      </c>
      <c r="B93" s="33" t="s">
        <v>684</v>
      </c>
      <c r="C93" s="4">
        <v>120501887</v>
      </c>
      <c r="D93" s="4" t="s">
        <v>685</v>
      </c>
      <c r="E93" s="4" t="s">
        <v>33</v>
      </c>
      <c r="F93" s="68">
        <f>(56+47+57+57+47+57+32+41+30+30+30+29)/6</f>
        <v>85.5</v>
      </c>
      <c r="G93" s="4" t="s">
        <v>328</v>
      </c>
      <c r="H93" s="4" t="s">
        <v>686</v>
      </c>
      <c r="I93" s="4">
        <v>473517</v>
      </c>
      <c r="J93" s="4">
        <v>198</v>
      </c>
      <c r="K93" s="4">
        <v>66.39</v>
      </c>
      <c r="L93" s="4" t="s">
        <v>545</v>
      </c>
      <c r="M93" s="4" t="s">
        <v>328</v>
      </c>
      <c r="N93" s="4" t="s">
        <v>687</v>
      </c>
      <c r="O93" s="4">
        <f t="shared" si="3"/>
        <v>28.245363766048502</v>
      </c>
      <c r="P93" s="25">
        <v>80.28</v>
      </c>
      <c r="Q93" s="25">
        <f t="shared" si="4"/>
        <v>-13.89</v>
      </c>
      <c r="R93" s="25">
        <f t="shared" si="5"/>
        <v>192.93210000000002</v>
      </c>
    </row>
    <row r="94" spans="1:18" ht="30" x14ac:dyDescent="0.25">
      <c r="A94" s="4">
        <v>90</v>
      </c>
      <c r="B94" s="70" t="s">
        <v>688</v>
      </c>
      <c r="C94" s="4">
        <v>120405668</v>
      </c>
      <c r="D94" s="4" t="s">
        <v>689</v>
      </c>
      <c r="E94" s="69" t="s">
        <v>50</v>
      </c>
      <c r="F94" s="68">
        <f>561/6</f>
        <v>93.5</v>
      </c>
      <c r="G94" s="4" t="s">
        <v>328</v>
      </c>
      <c r="H94" s="4" t="s">
        <v>690</v>
      </c>
      <c r="I94" s="4">
        <v>494958</v>
      </c>
      <c r="J94" s="4">
        <v>190</v>
      </c>
      <c r="K94" s="4">
        <v>64.75</v>
      </c>
      <c r="L94" s="4" t="s">
        <v>545</v>
      </c>
      <c r="M94" s="4" t="s">
        <v>328</v>
      </c>
      <c r="N94" s="116" t="s">
        <v>691</v>
      </c>
      <c r="O94" s="4">
        <f t="shared" si="3"/>
        <v>27.104136947218258</v>
      </c>
      <c r="P94" s="25">
        <v>80.28</v>
      </c>
      <c r="Q94" s="25">
        <f t="shared" si="4"/>
        <v>-15.530000000000001</v>
      </c>
      <c r="R94" s="25">
        <f t="shared" si="5"/>
        <v>241.18090000000004</v>
      </c>
    </row>
    <row r="95" spans="1:18" ht="30" x14ac:dyDescent="0.25">
      <c r="A95" s="4">
        <v>91</v>
      </c>
      <c r="B95" s="70" t="s">
        <v>692</v>
      </c>
      <c r="C95" s="4">
        <v>120102065</v>
      </c>
      <c r="D95" s="4" t="s">
        <v>693</v>
      </c>
      <c r="E95" s="71" t="s">
        <v>33</v>
      </c>
      <c r="F95" s="68">
        <f>(52+39+28+55+47+30+54+48+28+47+38+26)/6</f>
        <v>82</v>
      </c>
      <c r="G95" s="4" t="s">
        <v>328</v>
      </c>
      <c r="H95" s="4" t="s">
        <v>694</v>
      </c>
      <c r="I95" s="4">
        <v>498894</v>
      </c>
      <c r="J95" s="4">
        <v>189</v>
      </c>
      <c r="K95" s="4">
        <v>64.55</v>
      </c>
      <c r="L95" s="4" t="s">
        <v>545</v>
      </c>
      <c r="M95" s="4" t="s">
        <v>328</v>
      </c>
      <c r="N95" s="116" t="s">
        <v>695</v>
      </c>
      <c r="O95" s="4">
        <f t="shared" si="3"/>
        <v>26.961483594864479</v>
      </c>
      <c r="P95" s="25">
        <v>80.28</v>
      </c>
      <c r="Q95" s="25">
        <f t="shared" si="4"/>
        <v>-15.730000000000004</v>
      </c>
      <c r="R95" s="25">
        <f t="shared" si="5"/>
        <v>247.43290000000013</v>
      </c>
    </row>
    <row r="96" spans="1:18" ht="31.5" x14ac:dyDescent="0.25">
      <c r="A96" s="4">
        <v>92</v>
      </c>
      <c r="B96" s="33" t="s">
        <v>696</v>
      </c>
      <c r="C96" s="4">
        <v>120516145</v>
      </c>
      <c r="D96" s="4" t="s">
        <v>697</v>
      </c>
      <c r="E96" s="4" t="s">
        <v>39</v>
      </c>
      <c r="F96" s="68">
        <f>(52+55+58+46+60+59+53+57+29+30+29+30)/6</f>
        <v>93</v>
      </c>
      <c r="G96" s="4" t="s">
        <v>328</v>
      </c>
      <c r="H96" s="4" t="s">
        <v>698</v>
      </c>
      <c r="I96" s="4">
        <v>506017</v>
      </c>
      <c r="J96" s="4">
        <v>186</v>
      </c>
      <c r="K96" s="4">
        <v>63.93</v>
      </c>
      <c r="L96" s="4" t="s">
        <v>545</v>
      </c>
      <c r="M96" s="4" t="s">
        <v>328</v>
      </c>
      <c r="N96" s="4" t="s">
        <v>699</v>
      </c>
      <c r="O96" s="4">
        <f t="shared" si="3"/>
        <v>26.533523537803138</v>
      </c>
      <c r="P96" s="25">
        <v>80.28</v>
      </c>
      <c r="Q96" s="25">
        <f t="shared" si="4"/>
        <v>-16.350000000000001</v>
      </c>
      <c r="R96" s="25">
        <f t="shared" si="5"/>
        <v>267.32250000000005</v>
      </c>
    </row>
    <row r="97" spans="1:18" ht="31.5" x14ac:dyDescent="0.25">
      <c r="A97" s="4">
        <v>93</v>
      </c>
      <c r="B97" s="72" t="s">
        <v>700</v>
      </c>
      <c r="C97" s="4">
        <v>120506715</v>
      </c>
      <c r="D97" s="35" t="s">
        <v>701</v>
      </c>
      <c r="E97" s="4" t="s">
        <v>50</v>
      </c>
      <c r="F97" s="68">
        <f>(60+60+55+46+57+60+41+39+30+30+28+30)/6</f>
        <v>89.333333333333329</v>
      </c>
      <c r="G97" s="4" t="s">
        <v>328</v>
      </c>
      <c r="H97" s="4" t="s">
        <v>702</v>
      </c>
      <c r="I97" s="4">
        <v>537878</v>
      </c>
      <c r="J97" s="4">
        <v>176</v>
      </c>
      <c r="K97" s="4">
        <v>61.7</v>
      </c>
      <c r="L97" s="4" t="s">
        <v>545</v>
      </c>
      <c r="M97" s="4" t="s">
        <v>328</v>
      </c>
      <c r="N97" s="63" t="s">
        <v>703</v>
      </c>
      <c r="O97" s="4">
        <f t="shared" si="3"/>
        <v>25.106990014265335</v>
      </c>
      <c r="P97" s="25">
        <v>80.28</v>
      </c>
      <c r="Q97" s="25">
        <f t="shared" si="4"/>
        <v>-18.579999999999998</v>
      </c>
      <c r="R97" s="25">
        <f t="shared" si="5"/>
        <v>345.21639999999996</v>
      </c>
    </row>
    <row r="98" spans="1:18" ht="30" x14ac:dyDescent="0.25">
      <c r="A98" s="4">
        <v>94</v>
      </c>
      <c r="B98" s="70" t="s">
        <v>704</v>
      </c>
      <c r="C98" s="4">
        <v>120610862</v>
      </c>
      <c r="D98" s="4" t="s">
        <v>705</v>
      </c>
      <c r="E98" s="71" t="s">
        <v>33</v>
      </c>
      <c r="F98" s="68">
        <f>(55+47+37+30+30+30)/3</f>
        <v>76.333333333333329</v>
      </c>
      <c r="G98" s="4" t="s">
        <v>328</v>
      </c>
      <c r="H98" s="4" t="s">
        <v>706</v>
      </c>
      <c r="I98" s="4">
        <v>580014</v>
      </c>
      <c r="J98" s="4">
        <v>164</v>
      </c>
      <c r="K98" s="4">
        <v>58.76</v>
      </c>
      <c r="L98" s="4" t="s">
        <v>545</v>
      </c>
      <c r="M98" s="4" t="s">
        <v>328</v>
      </c>
      <c r="N98" s="116" t="s">
        <v>707</v>
      </c>
      <c r="O98" s="4">
        <f t="shared" si="3"/>
        <v>23.395149786019971</v>
      </c>
      <c r="P98" s="25">
        <v>80.28</v>
      </c>
      <c r="Q98" s="25">
        <f t="shared" si="4"/>
        <v>-21.520000000000003</v>
      </c>
      <c r="R98" s="25">
        <f t="shared" si="5"/>
        <v>463.11040000000014</v>
      </c>
    </row>
    <row r="99" spans="1:18" ht="31.5" x14ac:dyDescent="0.25">
      <c r="A99" s="4">
        <v>95</v>
      </c>
      <c r="B99" s="33" t="s">
        <v>708</v>
      </c>
      <c r="C99" s="4">
        <v>120606748</v>
      </c>
      <c r="D99" s="4" t="s">
        <v>709</v>
      </c>
      <c r="E99" s="4" t="s">
        <v>33</v>
      </c>
      <c r="F99" s="68">
        <f>(60+53+30+54+51+30+60+55+30+53+51+30)/6</f>
        <v>92.833333333333329</v>
      </c>
      <c r="G99" s="4" t="s">
        <v>328</v>
      </c>
      <c r="H99" s="4" t="s">
        <v>710</v>
      </c>
      <c r="I99" s="4">
        <v>589630</v>
      </c>
      <c r="J99" s="4">
        <v>161</v>
      </c>
      <c r="K99" s="4">
        <v>58.05</v>
      </c>
      <c r="L99" s="4" t="s">
        <v>545</v>
      </c>
      <c r="M99" s="4" t="s">
        <v>328</v>
      </c>
      <c r="N99" s="4" t="s">
        <v>711</v>
      </c>
      <c r="O99" s="4">
        <f t="shared" si="3"/>
        <v>22.96718972895863</v>
      </c>
      <c r="P99" s="25">
        <v>80.28</v>
      </c>
      <c r="Q99" s="25">
        <f t="shared" si="4"/>
        <v>-22.230000000000004</v>
      </c>
      <c r="R99" s="25">
        <f t="shared" si="5"/>
        <v>494.1729000000002</v>
      </c>
    </row>
    <row r="100" spans="1:18" ht="30" x14ac:dyDescent="0.25">
      <c r="A100" s="4">
        <v>96</v>
      </c>
      <c r="B100" s="70" t="s">
        <v>712</v>
      </c>
      <c r="C100" s="4">
        <v>120202015</v>
      </c>
      <c r="D100" s="4" t="s">
        <v>713</v>
      </c>
      <c r="E100" s="69" t="s">
        <v>43</v>
      </c>
      <c r="F100" s="68">
        <f>(57+57+52+57+59+55+57+60+30+29+30+30)/6</f>
        <v>95.5</v>
      </c>
      <c r="G100" s="4" t="s">
        <v>328</v>
      </c>
      <c r="H100" s="4" t="s">
        <v>714</v>
      </c>
      <c r="I100" s="4">
        <v>663528</v>
      </c>
      <c r="J100" s="4">
        <v>142</v>
      </c>
      <c r="K100" s="4">
        <v>52.68</v>
      </c>
      <c r="L100" s="4" t="s">
        <v>545</v>
      </c>
      <c r="M100" s="4" t="s">
        <v>328</v>
      </c>
      <c r="N100" s="116" t="s">
        <v>715</v>
      </c>
      <c r="O100" s="4">
        <f t="shared" si="3"/>
        <v>20.256776034236804</v>
      </c>
      <c r="P100" s="25">
        <v>80.28</v>
      </c>
      <c r="Q100" s="25">
        <f t="shared" si="4"/>
        <v>-27.6</v>
      </c>
      <c r="R100" s="25">
        <f t="shared" si="5"/>
        <v>761.7600000000001</v>
      </c>
    </row>
    <row r="101" spans="1:18" ht="31.5" x14ac:dyDescent="0.25">
      <c r="A101" s="4">
        <v>97</v>
      </c>
      <c r="B101" s="33" t="s">
        <v>716</v>
      </c>
      <c r="C101" s="4">
        <v>120500983</v>
      </c>
      <c r="D101" s="4" t="s">
        <v>717</v>
      </c>
      <c r="E101" s="4" t="s">
        <v>33</v>
      </c>
      <c r="F101" s="68">
        <f>(45+50+29+48+42+29+42+38+30+31+29+28)/6</f>
        <v>73.5</v>
      </c>
      <c r="G101" s="4" t="s">
        <v>328</v>
      </c>
      <c r="H101" s="4" t="s">
        <v>718</v>
      </c>
      <c r="I101" s="4">
        <v>677642</v>
      </c>
      <c r="J101" s="4">
        <v>139</v>
      </c>
      <c r="K101" s="4">
        <v>51.7</v>
      </c>
      <c r="L101" s="4" t="s">
        <v>545</v>
      </c>
      <c r="M101" s="4" t="s">
        <v>328</v>
      </c>
      <c r="N101" s="4" t="s">
        <v>719</v>
      </c>
      <c r="O101" s="4">
        <f t="shared" si="3"/>
        <v>19.828815977175463</v>
      </c>
      <c r="P101" s="25">
        <v>80.28</v>
      </c>
      <c r="Q101" s="25">
        <f t="shared" si="4"/>
        <v>-28.58</v>
      </c>
      <c r="R101" s="25">
        <f t="shared" si="5"/>
        <v>816.81639999999993</v>
      </c>
    </row>
    <row r="102" spans="1:18" ht="45" x14ac:dyDescent="0.25">
      <c r="A102" s="4">
        <v>98</v>
      </c>
      <c r="B102" s="70" t="s">
        <v>720</v>
      </c>
      <c r="C102" s="4">
        <v>120605658</v>
      </c>
      <c r="D102" s="4" t="s">
        <v>721</v>
      </c>
      <c r="E102" s="71" t="s">
        <v>50</v>
      </c>
      <c r="F102" s="73">
        <v>91.1</v>
      </c>
      <c r="G102" s="4" t="s">
        <v>328</v>
      </c>
      <c r="H102" s="4" t="s">
        <v>722</v>
      </c>
      <c r="I102" s="4">
        <v>688582</v>
      </c>
      <c r="J102" s="4">
        <v>137</v>
      </c>
      <c r="K102" s="4">
        <v>51.11</v>
      </c>
      <c r="L102" s="4" t="s">
        <v>545</v>
      </c>
      <c r="M102" s="4" t="s">
        <v>328</v>
      </c>
      <c r="N102" s="116" t="s">
        <v>723</v>
      </c>
      <c r="O102" s="4">
        <f t="shared" si="3"/>
        <v>19.543509272467904</v>
      </c>
      <c r="P102" s="25">
        <v>80.28</v>
      </c>
      <c r="Q102" s="25">
        <f t="shared" si="4"/>
        <v>-29.17</v>
      </c>
      <c r="R102" s="25">
        <f t="shared" si="5"/>
        <v>850.88890000000015</v>
      </c>
    </row>
    <row r="103" spans="1:18" ht="15.75" x14ac:dyDescent="0.25">
      <c r="A103" s="4">
        <v>99</v>
      </c>
      <c r="B103" s="33" t="s">
        <v>724</v>
      </c>
      <c r="C103" s="4">
        <v>420139215</v>
      </c>
      <c r="D103" s="4" t="s">
        <v>725</v>
      </c>
      <c r="E103" s="69" t="s">
        <v>37</v>
      </c>
      <c r="F103" s="68">
        <f>(33+24+31+29+26+29+52+30+21+30+24+28)/6</f>
        <v>59.5</v>
      </c>
      <c r="G103" s="4" t="s">
        <v>328</v>
      </c>
      <c r="H103" s="4" t="s">
        <v>726</v>
      </c>
      <c r="I103" s="4">
        <v>746687</v>
      </c>
      <c r="J103" s="4">
        <v>125</v>
      </c>
      <c r="K103" s="4">
        <v>46.95</v>
      </c>
      <c r="L103" s="4" t="s">
        <v>545</v>
      </c>
      <c r="M103" s="4" t="s">
        <v>328</v>
      </c>
      <c r="N103" s="116">
        <v>9490433302</v>
      </c>
      <c r="O103" s="4">
        <f t="shared" si="3"/>
        <v>17.83166904422254</v>
      </c>
      <c r="P103" s="25">
        <v>80.28</v>
      </c>
      <c r="Q103" s="25">
        <f t="shared" si="4"/>
        <v>-33.33</v>
      </c>
      <c r="R103" s="25">
        <f t="shared" si="5"/>
        <v>1110.8888999999999</v>
      </c>
    </row>
    <row r="104" spans="1:18" ht="47.25" x14ac:dyDescent="0.25">
      <c r="A104" s="4">
        <v>100</v>
      </c>
      <c r="B104" s="33" t="s">
        <v>727</v>
      </c>
      <c r="C104" s="4">
        <v>120502928</v>
      </c>
      <c r="D104" s="4" t="s">
        <v>728</v>
      </c>
      <c r="E104" s="4" t="s">
        <v>682</v>
      </c>
      <c r="F104" s="68">
        <v>81.099999999999994</v>
      </c>
      <c r="G104" s="4" t="s">
        <v>328</v>
      </c>
      <c r="H104" s="4" t="s">
        <v>729</v>
      </c>
      <c r="I104" s="4">
        <v>803678</v>
      </c>
      <c r="J104" s="4">
        <v>114</v>
      </c>
      <c r="K104" s="4">
        <v>42.84</v>
      </c>
      <c r="L104" s="4" t="s">
        <v>730</v>
      </c>
      <c r="M104" s="4" t="s">
        <v>328</v>
      </c>
      <c r="N104" s="4" t="s">
        <v>731</v>
      </c>
      <c r="O104" s="4">
        <f t="shared" si="3"/>
        <v>16.262482168330955</v>
      </c>
      <c r="P104" s="25">
        <v>80.28</v>
      </c>
      <c r="Q104" s="25">
        <f t="shared" si="4"/>
        <v>-37.44</v>
      </c>
      <c r="R104" s="25">
        <f t="shared" si="5"/>
        <v>1401.7535999999998</v>
      </c>
    </row>
    <row r="105" spans="1:18" ht="15.75" x14ac:dyDescent="0.25">
      <c r="A105" s="33"/>
      <c r="B105" s="33"/>
      <c r="C105" s="33"/>
      <c r="D105" s="33"/>
      <c r="E105" s="33"/>
      <c r="F105" s="33"/>
      <c r="G105" s="33"/>
      <c r="H105" s="33"/>
      <c r="I105" s="33"/>
      <c r="J105" s="33"/>
      <c r="K105" s="33">
        <f>SUM(K5:K104)</f>
        <v>8028.44</v>
      </c>
      <c r="L105" s="33"/>
      <c r="M105" s="33"/>
      <c r="N105" s="65"/>
      <c r="O105" s="65"/>
      <c r="P105" s="25"/>
      <c r="Q105" s="25"/>
      <c r="R105" s="25">
        <f>SUM(R6:R104)</f>
        <v>25954.316799999997</v>
      </c>
    </row>
    <row r="106" spans="1:18" ht="15.75" x14ac:dyDescent="0.25">
      <c r="A106" s="33"/>
      <c r="B106" s="33"/>
      <c r="C106" s="33"/>
      <c r="D106" s="33"/>
      <c r="E106" s="33"/>
      <c r="F106" s="33"/>
      <c r="G106" s="33"/>
      <c r="H106" s="33"/>
      <c r="I106" s="33"/>
      <c r="J106" s="33"/>
      <c r="K106" s="33">
        <f>K105/100</f>
        <v>80.284399999999991</v>
      </c>
      <c r="L106" s="33"/>
      <c r="M106" s="33"/>
      <c r="N106" s="65"/>
      <c r="O106" s="65"/>
      <c r="P106" s="25"/>
      <c r="Q106" s="25"/>
      <c r="R106" s="25">
        <f>R105/100</f>
        <v>259.54316799999998</v>
      </c>
    </row>
    <row r="107" spans="1:18" ht="45" x14ac:dyDescent="0.25">
      <c r="A107" s="74">
        <v>1</v>
      </c>
      <c r="B107" s="122" t="s">
        <v>732</v>
      </c>
      <c r="C107" s="122"/>
      <c r="D107" s="122"/>
      <c r="E107" s="122"/>
      <c r="F107" s="122"/>
      <c r="G107" s="122"/>
      <c r="H107" s="122"/>
      <c r="I107" s="122"/>
      <c r="J107" s="122"/>
      <c r="K107" s="122"/>
      <c r="L107" s="122"/>
      <c r="M107" s="122"/>
      <c r="N107" s="99"/>
      <c r="O107" s="99"/>
      <c r="P107" s="99"/>
      <c r="Q107" s="104" t="s">
        <v>733</v>
      </c>
      <c r="R107" s="76">
        <f>SQRT(R106)</f>
        <v>16.11034350968346</v>
      </c>
    </row>
    <row r="108" spans="1:18" ht="15.75" x14ac:dyDescent="0.25">
      <c r="A108" s="74">
        <v>2</v>
      </c>
      <c r="B108" s="122" t="s">
        <v>734</v>
      </c>
      <c r="C108" s="122"/>
      <c r="D108" s="122"/>
      <c r="E108" s="122"/>
      <c r="F108" s="122"/>
      <c r="G108" s="122"/>
      <c r="H108" s="122"/>
      <c r="I108" s="122"/>
      <c r="J108" s="122"/>
      <c r="K108" s="122"/>
      <c r="L108" s="122"/>
      <c r="M108" s="122"/>
      <c r="N108" s="99"/>
      <c r="O108" s="99"/>
      <c r="P108" s="99"/>
      <c r="Q108" s="99"/>
      <c r="R108" s="99"/>
    </row>
    <row r="109" spans="1:18" ht="15.75" x14ac:dyDescent="0.25">
      <c r="A109" s="74">
        <v>3</v>
      </c>
      <c r="B109" s="122" t="s">
        <v>735</v>
      </c>
      <c r="C109" s="122"/>
      <c r="D109" s="122"/>
      <c r="E109" s="122"/>
      <c r="F109" s="122"/>
      <c r="G109" s="122"/>
      <c r="H109" s="122"/>
      <c r="I109" s="122"/>
      <c r="J109" s="122"/>
      <c r="K109" s="122"/>
      <c r="L109" s="122"/>
      <c r="M109" s="122"/>
      <c r="N109" s="99"/>
      <c r="O109" s="99"/>
      <c r="P109" s="99"/>
      <c r="Q109" s="99"/>
      <c r="R109" s="99"/>
    </row>
    <row r="110" spans="1:18" ht="15.75" x14ac:dyDescent="0.25">
      <c r="A110" s="74">
        <v>4</v>
      </c>
      <c r="B110" s="122" t="s">
        <v>736</v>
      </c>
      <c r="C110" s="122"/>
      <c r="D110" s="122"/>
      <c r="E110" s="122"/>
      <c r="F110" s="122"/>
      <c r="G110" s="122"/>
      <c r="H110" s="122"/>
      <c r="I110" s="122"/>
      <c r="J110" s="122"/>
      <c r="K110" s="122"/>
      <c r="L110" s="122"/>
      <c r="M110" s="122"/>
      <c r="N110" s="99"/>
      <c r="O110" s="99"/>
      <c r="P110" s="99"/>
      <c r="Q110" s="99"/>
      <c r="R110" s="99"/>
    </row>
    <row r="111" spans="1:18" ht="15.75" x14ac:dyDescent="0.25">
      <c r="A111" s="74">
        <v>5</v>
      </c>
      <c r="B111" s="122" t="s">
        <v>737</v>
      </c>
      <c r="C111" s="122"/>
      <c r="D111" s="122"/>
      <c r="E111" s="122"/>
      <c r="F111" s="122"/>
      <c r="G111" s="122"/>
      <c r="H111" s="122"/>
      <c r="I111" s="122"/>
      <c r="J111" s="122"/>
      <c r="K111" s="122"/>
      <c r="L111" s="122"/>
      <c r="M111" s="122"/>
      <c r="N111" s="99"/>
      <c r="O111" s="99"/>
      <c r="P111" s="99"/>
      <c r="Q111" s="99"/>
      <c r="R111" s="99"/>
    </row>
    <row r="112" spans="1:18" ht="15.75" x14ac:dyDescent="0.25">
      <c r="A112" s="74">
        <v>6</v>
      </c>
      <c r="B112" s="122" t="s">
        <v>738</v>
      </c>
      <c r="C112" s="122"/>
      <c r="D112" s="122"/>
      <c r="E112" s="122"/>
      <c r="F112" s="122"/>
      <c r="G112" s="122"/>
      <c r="H112" s="122"/>
      <c r="I112" s="122"/>
      <c r="J112" s="122"/>
      <c r="K112" s="122"/>
      <c r="L112" s="122"/>
      <c r="M112" s="122"/>
      <c r="N112" s="99"/>
      <c r="O112" s="99"/>
      <c r="P112" s="99"/>
      <c r="Q112" s="99"/>
      <c r="R112" s="99"/>
    </row>
    <row r="113" spans="1:18" ht="15.75" x14ac:dyDescent="0.25">
      <c r="A113" s="74">
        <v>7</v>
      </c>
      <c r="B113" s="122" t="s">
        <v>739</v>
      </c>
      <c r="C113" s="122"/>
      <c r="D113" s="122"/>
      <c r="E113" s="122"/>
      <c r="F113" s="122"/>
      <c r="G113" s="122"/>
      <c r="H113" s="122"/>
      <c r="I113" s="122"/>
      <c r="J113" s="122"/>
      <c r="K113" s="122"/>
      <c r="L113" s="122"/>
      <c r="M113" s="122"/>
      <c r="N113" s="99"/>
      <c r="O113" s="99"/>
      <c r="P113" s="99"/>
      <c r="Q113" s="99"/>
      <c r="R113" s="99"/>
    </row>
    <row r="114" spans="1:18" ht="15.75" x14ac:dyDescent="0.25">
      <c r="A114" s="74">
        <v>8</v>
      </c>
      <c r="B114" s="122" t="s">
        <v>740</v>
      </c>
      <c r="C114" s="122"/>
      <c r="D114" s="122"/>
      <c r="E114" s="122"/>
      <c r="F114" s="122"/>
      <c r="G114" s="122"/>
      <c r="H114" s="122"/>
      <c r="I114" s="122"/>
      <c r="J114" s="122"/>
      <c r="K114" s="122"/>
      <c r="L114" s="122"/>
      <c r="M114" s="122"/>
      <c r="N114" s="99"/>
      <c r="O114" s="99"/>
      <c r="P114" s="99"/>
      <c r="Q114" s="99"/>
      <c r="R114" s="99"/>
    </row>
    <row r="115" spans="1:18" ht="15.75" x14ac:dyDescent="0.25">
      <c r="A115" s="74">
        <v>9</v>
      </c>
      <c r="B115" s="122" t="s">
        <v>741</v>
      </c>
      <c r="C115" s="122"/>
      <c r="D115" s="122"/>
      <c r="E115" s="122"/>
      <c r="F115" s="122"/>
      <c r="G115" s="122"/>
      <c r="H115" s="122"/>
      <c r="I115" s="122"/>
      <c r="J115" s="122"/>
      <c r="K115" s="122"/>
      <c r="L115" s="122"/>
      <c r="M115" s="122"/>
      <c r="N115" s="99"/>
      <c r="O115" s="99"/>
      <c r="P115" s="99"/>
      <c r="Q115" s="99"/>
      <c r="R115" s="99"/>
    </row>
    <row r="116" spans="1:18" ht="15.75" x14ac:dyDescent="0.25">
      <c r="A116" s="74">
        <v>10</v>
      </c>
      <c r="B116" s="122" t="s">
        <v>742</v>
      </c>
      <c r="C116" s="122"/>
      <c r="D116" s="122"/>
      <c r="E116" s="122"/>
      <c r="F116" s="122"/>
      <c r="G116" s="122"/>
      <c r="H116" s="122"/>
      <c r="I116" s="122"/>
      <c r="J116" s="122"/>
      <c r="K116" s="122"/>
      <c r="L116" s="122"/>
      <c r="M116" s="122"/>
      <c r="N116" s="99"/>
      <c r="O116" s="99"/>
      <c r="P116" s="99"/>
      <c r="Q116" s="99"/>
      <c r="R116" s="99"/>
    </row>
    <row r="117" spans="1:18" ht="15.75" x14ac:dyDescent="0.25">
      <c r="A117" s="77"/>
      <c r="B117" s="77"/>
      <c r="C117" s="77"/>
      <c r="D117" s="77"/>
      <c r="E117" s="77"/>
      <c r="F117" s="77"/>
      <c r="G117" s="77"/>
      <c r="H117" s="77"/>
      <c r="I117" s="77"/>
      <c r="J117" s="77"/>
      <c r="K117" s="77"/>
      <c r="L117" s="77"/>
      <c r="M117" s="77"/>
    </row>
    <row r="118" spans="1:18" ht="15.75" x14ac:dyDescent="0.25">
      <c r="A118" s="77"/>
      <c r="B118" s="121" t="s">
        <v>743</v>
      </c>
      <c r="C118" s="121"/>
      <c r="D118" s="121"/>
      <c r="E118" s="121"/>
      <c r="F118" s="121"/>
      <c r="G118" s="121"/>
      <c r="H118" s="121"/>
      <c r="I118" s="121"/>
      <c r="J118" s="121"/>
      <c r="K118" s="121"/>
      <c r="L118" s="121"/>
      <c r="M118" s="121"/>
    </row>
    <row r="119" spans="1:18" ht="39.75" customHeight="1" x14ac:dyDescent="0.25">
      <c r="A119" s="77"/>
      <c r="B119" s="122" t="s">
        <v>744</v>
      </c>
      <c r="C119" s="122"/>
      <c r="D119" s="122"/>
      <c r="E119" s="122"/>
      <c r="F119" s="122"/>
      <c r="G119" s="122"/>
      <c r="H119" s="122"/>
      <c r="I119" s="122"/>
      <c r="J119" s="122"/>
      <c r="K119" s="122"/>
      <c r="L119" s="122"/>
      <c r="M119" s="122"/>
    </row>
    <row r="120" spans="1:18" ht="40.5" customHeight="1" x14ac:dyDescent="0.25">
      <c r="A120" s="77"/>
      <c r="B120" s="122" t="s">
        <v>745</v>
      </c>
      <c r="C120" s="122"/>
      <c r="D120" s="122"/>
      <c r="E120" s="122"/>
      <c r="F120" s="122"/>
      <c r="G120" s="122"/>
      <c r="H120" s="122"/>
      <c r="I120" s="122"/>
      <c r="J120" s="122"/>
      <c r="K120" s="122"/>
      <c r="L120" s="122"/>
      <c r="M120" s="122"/>
    </row>
    <row r="121" spans="1:18" ht="15.75" x14ac:dyDescent="0.25">
      <c r="A121" s="77"/>
      <c r="B121" s="77"/>
      <c r="C121" s="77"/>
      <c r="D121" s="77"/>
      <c r="E121" s="77"/>
      <c r="F121" s="77"/>
      <c r="G121" s="77"/>
      <c r="H121" s="77"/>
      <c r="I121" s="77"/>
      <c r="J121" s="77"/>
      <c r="K121" s="77"/>
      <c r="L121" s="77"/>
      <c r="M121" s="77"/>
    </row>
    <row r="122" spans="1:18" ht="15.75" x14ac:dyDescent="0.25">
      <c r="H122" s="123" t="s">
        <v>746</v>
      </c>
      <c r="I122" s="123"/>
      <c r="J122" s="123"/>
      <c r="K122" s="78"/>
    </row>
    <row r="145" spans="7:11" ht="15.75" x14ac:dyDescent="0.25">
      <c r="G145" s="79">
        <v>12155</v>
      </c>
      <c r="H145" s="80">
        <v>12155</v>
      </c>
      <c r="I145" s="80">
        <v>12155</v>
      </c>
      <c r="J145" s="80">
        <v>12155</v>
      </c>
      <c r="K145" s="81"/>
    </row>
    <row r="146" spans="7:11" x14ac:dyDescent="0.25">
      <c r="G146" s="82">
        <v>20000</v>
      </c>
      <c r="H146" s="83" t="s">
        <v>200</v>
      </c>
      <c r="I146" s="83" t="s">
        <v>200</v>
      </c>
      <c r="J146" s="83" t="s">
        <v>200</v>
      </c>
      <c r="K146" s="84"/>
    </row>
    <row r="147" spans="7:11" x14ac:dyDescent="0.25">
      <c r="G147" s="82">
        <v>5000</v>
      </c>
      <c r="H147" s="83">
        <v>5000</v>
      </c>
      <c r="I147" s="83">
        <v>5000</v>
      </c>
      <c r="J147" s="83">
        <v>5000</v>
      </c>
      <c r="K147" s="84"/>
    </row>
    <row r="148" spans="7:11" x14ac:dyDescent="0.25">
      <c r="G148" s="82">
        <v>12000</v>
      </c>
      <c r="H148" s="83">
        <v>13000</v>
      </c>
      <c r="I148" s="83">
        <v>20000</v>
      </c>
      <c r="J148" s="83">
        <v>25000</v>
      </c>
      <c r="K148" s="84"/>
    </row>
    <row r="149" spans="7:11" x14ac:dyDescent="0.25">
      <c r="G149" s="82" t="s">
        <v>200</v>
      </c>
      <c r="H149" s="83" t="s">
        <v>200</v>
      </c>
      <c r="I149" s="83" t="s">
        <v>200</v>
      </c>
      <c r="J149" s="83" t="s">
        <v>200</v>
      </c>
      <c r="K149" s="84"/>
    </row>
    <row r="150" spans="7:11" x14ac:dyDescent="0.25">
      <c r="G150" s="82">
        <v>5000</v>
      </c>
      <c r="H150" s="83">
        <v>5000</v>
      </c>
      <c r="I150" s="83">
        <v>5000</v>
      </c>
      <c r="J150" s="83">
        <v>5000</v>
      </c>
      <c r="K150" s="84"/>
    </row>
    <row r="151" spans="7:11" x14ac:dyDescent="0.25">
      <c r="G151" s="82">
        <v>600</v>
      </c>
      <c r="H151" s="83">
        <v>600</v>
      </c>
      <c r="I151" s="83">
        <v>600</v>
      </c>
      <c r="J151" s="83">
        <v>600</v>
      </c>
      <c r="K151" s="84"/>
    </row>
    <row r="152" spans="7:11" x14ac:dyDescent="0.25">
      <c r="G152" s="82">
        <v>800</v>
      </c>
      <c r="H152" s="83">
        <v>1000</v>
      </c>
      <c r="I152" s="83">
        <v>1000</v>
      </c>
      <c r="J152" s="83">
        <v>1000</v>
      </c>
      <c r="K152" s="84"/>
    </row>
    <row r="153" spans="7:11" x14ac:dyDescent="0.25">
      <c r="G153" s="82">
        <v>2000</v>
      </c>
      <c r="H153" s="83">
        <v>2000</v>
      </c>
      <c r="I153" s="83">
        <v>2000</v>
      </c>
      <c r="J153" s="83">
        <v>2000</v>
      </c>
      <c r="K153" s="84"/>
    </row>
    <row r="154" spans="7:11" x14ac:dyDescent="0.25">
      <c r="G154" s="58">
        <f>SUM(G145:G153)</f>
        <v>57555</v>
      </c>
      <c r="H154" s="58">
        <f>SUM(H145:H153)</f>
        <v>38755</v>
      </c>
      <c r="I154" s="58">
        <f>SUM(I145:I153)</f>
        <v>45755</v>
      </c>
      <c r="J154" s="58">
        <f>SUM(J145:J153)</f>
        <v>50755</v>
      </c>
    </row>
  </sheetData>
  <mergeCells count="16">
    <mergeCell ref="B110:M110"/>
    <mergeCell ref="A1:M1"/>
    <mergeCell ref="A2:M2"/>
    <mergeCell ref="B107:M107"/>
    <mergeCell ref="B108:M108"/>
    <mergeCell ref="B109:M109"/>
    <mergeCell ref="B118:M118"/>
    <mergeCell ref="B119:M119"/>
    <mergeCell ref="B120:M120"/>
    <mergeCell ref="H122:J122"/>
    <mergeCell ref="B111:M111"/>
    <mergeCell ref="B112:M112"/>
    <mergeCell ref="B113:M113"/>
    <mergeCell ref="B114:M114"/>
    <mergeCell ref="B115:M115"/>
    <mergeCell ref="B116:M116"/>
  </mergeCells>
  <pageMargins left="0.3" right="0.17" top="0.33" bottom="0.28999999999999998" header="0.2" footer="0.21"/>
  <pageSetup paperSize="9" scale="72" fitToHeight="0" orientation="landscape" r:id="rId1"/>
  <headerFooter>
    <oddFooter>Page &amp;P of &amp;N</oddFooter>
  </headerFooter>
  <rowBreaks count="2" manualBreakCount="2">
    <brk id="83" max="13" man="1"/>
    <brk id="101" max="1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124"/>
  <sheetViews>
    <sheetView topLeftCell="D113" workbookViewId="0">
      <selection activeCell="H122" sqref="H122"/>
    </sheetView>
  </sheetViews>
  <sheetFormatPr defaultRowHeight="15" x14ac:dyDescent="0.25"/>
  <cols>
    <col min="1" max="1" width="4.5703125" customWidth="1"/>
    <col min="2" max="2" width="34.42578125" customWidth="1"/>
    <col min="3" max="3" width="11.5703125" customWidth="1"/>
    <col min="4" max="4" width="27.7109375" customWidth="1"/>
    <col min="5" max="5" width="6.42578125" customWidth="1"/>
    <col min="6" max="6" width="13.7109375" customWidth="1"/>
    <col min="7" max="7" width="13" customWidth="1"/>
    <col min="8" max="8" width="11.42578125" customWidth="1"/>
    <col min="9" max="9" width="8.5703125" customWidth="1"/>
    <col min="10" max="10" width="7.28515625" customWidth="1"/>
    <col min="11" max="11" width="8.28515625" customWidth="1"/>
    <col min="12" max="12" width="11.85546875" customWidth="1"/>
    <col min="13" max="13" width="8.7109375" customWidth="1"/>
    <col min="14" max="14" width="13.42578125" bestFit="1" customWidth="1"/>
    <col min="15" max="18" width="9.28515625" bestFit="1" customWidth="1"/>
  </cols>
  <sheetData>
    <row r="1" spans="1:18" ht="18.75" x14ac:dyDescent="0.3">
      <c r="A1" s="118" t="s">
        <v>0</v>
      </c>
      <c r="B1" s="118"/>
      <c r="C1" s="118"/>
      <c r="D1" s="118"/>
      <c r="E1" s="118"/>
      <c r="F1" s="118"/>
      <c r="G1" s="118"/>
      <c r="H1" s="118"/>
      <c r="I1" s="118"/>
      <c r="J1" s="118"/>
      <c r="K1" s="118"/>
      <c r="L1" s="118"/>
      <c r="M1" s="118"/>
      <c r="N1" s="58"/>
      <c r="O1" s="58"/>
      <c r="P1" s="58"/>
      <c r="Q1" s="58"/>
      <c r="R1" s="58"/>
    </row>
    <row r="2" spans="1:18" ht="24" customHeight="1" x14ac:dyDescent="0.25">
      <c r="A2" s="119" t="s">
        <v>747</v>
      </c>
      <c r="B2" s="119"/>
      <c r="C2" s="119"/>
      <c r="D2" s="119"/>
      <c r="E2" s="119"/>
      <c r="F2" s="119"/>
      <c r="G2" s="119"/>
      <c r="H2" s="119"/>
      <c r="I2" s="119"/>
      <c r="J2" s="119"/>
      <c r="K2" s="119"/>
      <c r="L2" s="119"/>
      <c r="M2" s="119"/>
      <c r="N2" s="58"/>
      <c r="O2" s="58"/>
      <c r="P2" s="58"/>
      <c r="Q2" s="58"/>
      <c r="R2" s="58"/>
    </row>
    <row r="3" spans="1:18" ht="180.75" customHeight="1" x14ac:dyDescent="0.25">
      <c r="A3" s="4" t="s">
        <v>1</v>
      </c>
      <c r="B3" s="4" t="s">
        <v>2</v>
      </c>
      <c r="C3" s="4" t="s">
        <v>7</v>
      </c>
      <c r="D3" s="4" t="s">
        <v>319</v>
      </c>
      <c r="E3" s="22" t="s">
        <v>4</v>
      </c>
      <c r="F3" s="22" t="s">
        <v>5</v>
      </c>
      <c r="G3" s="22" t="s">
        <v>6</v>
      </c>
      <c r="H3" s="22" t="s">
        <v>3</v>
      </c>
      <c r="I3" s="22" t="s">
        <v>107</v>
      </c>
      <c r="J3" s="22" t="s">
        <v>135</v>
      </c>
      <c r="K3" s="22" t="s">
        <v>748</v>
      </c>
      <c r="L3" s="22" t="s">
        <v>8</v>
      </c>
      <c r="M3" s="22" t="s">
        <v>321</v>
      </c>
      <c r="N3" s="4" t="s">
        <v>322</v>
      </c>
      <c r="O3" s="22" t="s">
        <v>320</v>
      </c>
      <c r="P3" s="22" t="s">
        <v>323</v>
      </c>
      <c r="Q3" s="22" t="s">
        <v>324</v>
      </c>
      <c r="R3" s="22" t="s">
        <v>749</v>
      </c>
    </row>
    <row r="4" spans="1:18" ht="15.75" x14ac:dyDescent="0.25">
      <c r="A4" s="47">
        <v>1</v>
      </c>
      <c r="B4" s="47">
        <v>2</v>
      </c>
      <c r="C4" s="47">
        <v>3</v>
      </c>
      <c r="D4" s="47">
        <v>4</v>
      </c>
      <c r="E4" s="47">
        <v>5</v>
      </c>
      <c r="F4" s="47">
        <v>6</v>
      </c>
      <c r="G4" s="47">
        <v>7</v>
      </c>
      <c r="H4" s="47">
        <v>8</v>
      </c>
      <c r="I4" s="47">
        <v>9</v>
      </c>
      <c r="J4" s="47">
        <v>10</v>
      </c>
      <c r="K4" s="47">
        <v>11</v>
      </c>
      <c r="L4" s="47">
        <v>12</v>
      </c>
      <c r="M4" s="47">
        <v>13</v>
      </c>
      <c r="N4" s="59">
        <v>14</v>
      </c>
      <c r="O4" s="85">
        <v>15</v>
      </c>
      <c r="P4" s="60">
        <v>16</v>
      </c>
      <c r="Q4" s="60">
        <v>17</v>
      </c>
      <c r="R4" s="60">
        <v>18</v>
      </c>
    </row>
    <row r="5" spans="1:18" ht="45" x14ac:dyDescent="0.25">
      <c r="A5" s="4">
        <v>1</v>
      </c>
      <c r="B5" s="33" t="s">
        <v>750</v>
      </c>
      <c r="C5" s="4">
        <v>500906774</v>
      </c>
      <c r="D5" s="34" t="s">
        <v>751</v>
      </c>
      <c r="E5" s="35" t="s">
        <v>33</v>
      </c>
      <c r="F5" s="86">
        <f>(60+51+59+54+60+59+90+60+53+30)/600*100</f>
        <v>96</v>
      </c>
      <c r="G5" s="4" t="s">
        <v>328</v>
      </c>
      <c r="H5" s="4" t="s">
        <v>752</v>
      </c>
      <c r="I5" s="4">
        <v>35069</v>
      </c>
      <c r="J5" s="4">
        <v>468</v>
      </c>
      <c r="K5" s="35">
        <v>97.2</v>
      </c>
      <c r="L5" s="4" t="s">
        <v>753</v>
      </c>
      <c r="M5" s="4" t="s">
        <v>328</v>
      </c>
      <c r="N5" s="62" t="s">
        <v>754</v>
      </c>
      <c r="O5" s="30">
        <f>J5*100/691</f>
        <v>67.727930535455855</v>
      </c>
      <c r="P5" s="30">
        <v>41.777134587554265</v>
      </c>
      <c r="Q5" s="30">
        <f>O5-P5</f>
        <v>25.950795947901589</v>
      </c>
      <c r="R5" s="30">
        <f>Q5*Q5</f>
        <v>673.44381032962553</v>
      </c>
    </row>
    <row r="6" spans="1:18" ht="45" x14ac:dyDescent="0.25">
      <c r="A6" s="4">
        <v>2</v>
      </c>
      <c r="B6" s="33" t="s">
        <v>755</v>
      </c>
      <c r="C6" s="4">
        <v>500910256</v>
      </c>
      <c r="D6" s="34" t="s">
        <v>756</v>
      </c>
      <c r="E6" s="4" t="s">
        <v>33</v>
      </c>
      <c r="F6" s="61">
        <f>(60+40+60+54+58+59+60+56+30+90)/600*100</f>
        <v>94.5</v>
      </c>
      <c r="G6" s="4" t="s">
        <v>328</v>
      </c>
      <c r="H6" s="4" t="s">
        <v>757</v>
      </c>
      <c r="I6" s="4">
        <v>39915</v>
      </c>
      <c r="J6" s="4">
        <v>459</v>
      </c>
      <c r="K6" s="4">
        <v>96.85</v>
      </c>
      <c r="L6" s="4" t="s">
        <v>758</v>
      </c>
      <c r="M6" s="4" t="s">
        <v>328</v>
      </c>
      <c r="N6" s="62" t="s">
        <v>759</v>
      </c>
      <c r="O6" s="30">
        <f t="shared" ref="O6:O69" si="0">J6*100/691</f>
        <v>66.425470332850935</v>
      </c>
      <c r="P6" s="30">
        <v>41.777134587554265</v>
      </c>
      <c r="Q6" s="30">
        <f t="shared" ref="Q6:Q69" si="1">O6-P6</f>
        <v>24.64833574529667</v>
      </c>
      <c r="R6" s="30">
        <f t="shared" ref="R6:R69" si="2">Q6*Q6</f>
        <v>607.54045501286953</v>
      </c>
    </row>
    <row r="7" spans="1:18" ht="45" x14ac:dyDescent="0.25">
      <c r="A7" s="4">
        <v>3</v>
      </c>
      <c r="B7" s="33" t="s">
        <v>760</v>
      </c>
      <c r="C7" s="4">
        <v>500905959</v>
      </c>
      <c r="D7" s="34" t="s">
        <v>761</v>
      </c>
      <c r="E7" s="4" t="s">
        <v>33</v>
      </c>
      <c r="F7" s="61">
        <f>(60+60+60+56+60+60+29+30+30+60+58+29)/600*100</f>
        <v>98.666666666666671</v>
      </c>
      <c r="G7" s="4" t="s">
        <v>328</v>
      </c>
      <c r="H7" s="4" t="s">
        <v>621</v>
      </c>
      <c r="I7" s="4">
        <v>43338</v>
      </c>
      <c r="J7" s="4">
        <v>452</v>
      </c>
      <c r="K7" s="4">
        <v>96.55</v>
      </c>
      <c r="L7" s="4" t="s">
        <v>758</v>
      </c>
      <c r="M7" s="4" t="s">
        <v>328</v>
      </c>
      <c r="N7" s="62" t="s">
        <v>762</v>
      </c>
      <c r="O7" s="30">
        <f t="shared" si="0"/>
        <v>65.412445730824885</v>
      </c>
      <c r="P7" s="30">
        <v>41.777134587554265</v>
      </c>
      <c r="Q7" s="30">
        <f t="shared" si="1"/>
        <v>23.63531114327062</v>
      </c>
      <c r="R7" s="30">
        <f t="shared" si="2"/>
        <v>558.62793283921235</v>
      </c>
    </row>
    <row r="8" spans="1:18" ht="15.75" x14ac:dyDescent="0.25">
      <c r="A8" s="4">
        <v>4</v>
      </c>
      <c r="B8" s="33" t="s">
        <v>763</v>
      </c>
      <c r="C8" s="4">
        <v>500909122</v>
      </c>
      <c r="D8" s="34" t="s">
        <v>764</v>
      </c>
      <c r="E8" s="35" t="s">
        <v>33</v>
      </c>
      <c r="F8" s="61">
        <f>(60+58+58+58+60+60+58+60+30+90)/600*100</f>
        <v>98.666666666666671</v>
      </c>
      <c r="G8" s="4" t="s">
        <v>328</v>
      </c>
      <c r="H8" s="4" t="s">
        <v>87</v>
      </c>
      <c r="I8" s="4">
        <v>58021</v>
      </c>
      <c r="J8" s="4">
        <v>427</v>
      </c>
      <c r="K8" s="4">
        <v>95.39</v>
      </c>
      <c r="L8" s="35" t="s">
        <v>753</v>
      </c>
      <c r="M8" s="4" t="s">
        <v>328</v>
      </c>
      <c r="N8" s="87">
        <v>9394166777</v>
      </c>
      <c r="O8" s="30">
        <f t="shared" si="0"/>
        <v>61.794500723589003</v>
      </c>
      <c r="P8" s="30">
        <v>41.777134587554265</v>
      </c>
      <c r="Q8" s="30">
        <f t="shared" si="1"/>
        <v>20.017366136034738</v>
      </c>
      <c r="R8" s="30">
        <f t="shared" si="2"/>
        <v>400.6949470240703</v>
      </c>
    </row>
    <row r="9" spans="1:18" ht="30" x14ac:dyDescent="0.25">
      <c r="A9" s="4">
        <v>5</v>
      </c>
      <c r="B9" s="36" t="s">
        <v>765</v>
      </c>
      <c r="C9" s="4">
        <v>500804787</v>
      </c>
      <c r="D9" s="34" t="s">
        <v>477</v>
      </c>
      <c r="E9" s="35" t="s">
        <v>33</v>
      </c>
      <c r="F9" s="64">
        <f>(60+58+57+54+60+55+29+25+30+60+58+28)/600*100</f>
        <v>95.666666666666671</v>
      </c>
      <c r="G9" s="4" t="s">
        <v>328</v>
      </c>
      <c r="H9" s="4" t="s">
        <v>766</v>
      </c>
      <c r="I9" s="4">
        <v>59569</v>
      </c>
      <c r="J9" s="4">
        <v>425</v>
      </c>
      <c r="K9" s="35">
        <v>95.28</v>
      </c>
      <c r="L9" s="4" t="s">
        <v>758</v>
      </c>
      <c r="M9" s="4" t="s">
        <v>328</v>
      </c>
      <c r="N9" s="62" t="s">
        <v>767</v>
      </c>
      <c r="O9" s="30">
        <f t="shared" si="0"/>
        <v>61.505065123010134</v>
      </c>
      <c r="P9" s="30">
        <v>41.777134587554265</v>
      </c>
      <c r="Q9" s="30">
        <f t="shared" si="1"/>
        <v>19.727930535455869</v>
      </c>
      <c r="R9" s="30">
        <f t="shared" si="2"/>
        <v>389.19124321177208</v>
      </c>
    </row>
    <row r="10" spans="1:18" ht="45" x14ac:dyDescent="0.25">
      <c r="A10" s="4">
        <v>6</v>
      </c>
      <c r="B10" s="36" t="s">
        <v>768</v>
      </c>
      <c r="C10" s="4">
        <v>500901994</v>
      </c>
      <c r="D10" s="34" t="s">
        <v>769</v>
      </c>
      <c r="E10" s="4" t="s">
        <v>41</v>
      </c>
      <c r="F10" s="61">
        <f>(60+52+57+49+60+60+60+60+30+28+30+30)/600*100</f>
        <v>96</v>
      </c>
      <c r="G10" s="4" t="s">
        <v>328</v>
      </c>
      <c r="H10" s="4" t="s">
        <v>770</v>
      </c>
      <c r="I10" s="4">
        <v>61517</v>
      </c>
      <c r="J10" s="4">
        <v>422</v>
      </c>
      <c r="K10" s="4">
        <v>95.12</v>
      </c>
      <c r="L10" s="4" t="s">
        <v>753</v>
      </c>
      <c r="M10" s="4" t="s">
        <v>328</v>
      </c>
      <c r="N10" s="62" t="s">
        <v>771</v>
      </c>
      <c r="O10" s="30">
        <f t="shared" si="0"/>
        <v>61.070911722141823</v>
      </c>
      <c r="P10" s="30">
        <v>41.777134587554265</v>
      </c>
      <c r="Q10" s="30">
        <f t="shared" si="1"/>
        <v>19.293777134587557</v>
      </c>
      <c r="R10" s="30">
        <f t="shared" si="2"/>
        <v>372.24983611913365</v>
      </c>
    </row>
    <row r="11" spans="1:18" ht="30" x14ac:dyDescent="0.25">
      <c r="A11" s="4">
        <v>7</v>
      </c>
      <c r="B11" s="33" t="s">
        <v>772</v>
      </c>
      <c r="C11" s="4">
        <v>500803097</v>
      </c>
      <c r="D11" s="34" t="s">
        <v>575</v>
      </c>
      <c r="E11" s="35" t="s">
        <v>33</v>
      </c>
      <c r="F11" s="64">
        <f>(60+58+59+48+60+60+90+60+58+30)/600*100</f>
        <v>97.166666666666671</v>
      </c>
      <c r="G11" s="4" t="s">
        <v>328</v>
      </c>
      <c r="H11" s="4" t="s">
        <v>773</v>
      </c>
      <c r="I11" s="4">
        <v>62792</v>
      </c>
      <c r="J11" s="4">
        <v>420</v>
      </c>
      <c r="K11" s="35">
        <v>95.01</v>
      </c>
      <c r="L11" s="35" t="s">
        <v>753</v>
      </c>
      <c r="M11" s="4" t="s">
        <v>328</v>
      </c>
      <c r="N11" s="62" t="s">
        <v>774</v>
      </c>
      <c r="O11" s="30">
        <f t="shared" si="0"/>
        <v>60.781476121562953</v>
      </c>
      <c r="P11" s="30">
        <v>41.777134587554265</v>
      </c>
      <c r="Q11" s="30">
        <f t="shared" si="1"/>
        <v>19.004341534008688</v>
      </c>
      <c r="R11" s="30">
        <f t="shared" si="2"/>
        <v>361.16499714124768</v>
      </c>
    </row>
    <row r="12" spans="1:18" ht="45" x14ac:dyDescent="0.25">
      <c r="A12" s="4">
        <v>8</v>
      </c>
      <c r="B12" s="33" t="s">
        <v>775</v>
      </c>
      <c r="C12" s="4">
        <v>500910219</v>
      </c>
      <c r="D12" s="34" t="s">
        <v>776</v>
      </c>
      <c r="E12" s="4" t="s">
        <v>39</v>
      </c>
      <c r="F12" s="61">
        <f>(60+57+60+57+60+59+60+60+30+90)/600*100</f>
        <v>98.833333333333329</v>
      </c>
      <c r="G12" s="4" t="s">
        <v>328</v>
      </c>
      <c r="H12" s="4" t="s">
        <v>777</v>
      </c>
      <c r="I12" s="4">
        <v>63391</v>
      </c>
      <c r="J12" s="4">
        <v>419</v>
      </c>
      <c r="K12" s="4">
        <v>94.96</v>
      </c>
      <c r="L12" s="4" t="s">
        <v>753</v>
      </c>
      <c r="M12" s="4" t="s">
        <v>328</v>
      </c>
      <c r="N12" s="62" t="s">
        <v>778</v>
      </c>
      <c r="O12" s="30">
        <f t="shared" si="0"/>
        <v>60.636758321273518</v>
      </c>
      <c r="P12" s="30">
        <v>41.777134587554265</v>
      </c>
      <c r="Q12" s="30">
        <f t="shared" si="1"/>
        <v>18.859623733719253</v>
      </c>
      <c r="R12" s="30">
        <f t="shared" si="2"/>
        <v>355.68540737746656</v>
      </c>
    </row>
    <row r="13" spans="1:18" ht="45" x14ac:dyDescent="0.25">
      <c r="A13" s="4">
        <v>9</v>
      </c>
      <c r="B13" s="33" t="s">
        <v>779</v>
      </c>
      <c r="C13" s="4">
        <v>500905697</v>
      </c>
      <c r="D13" s="34" t="s">
        <v>780</v>
      </c>
      <c r="E13" s="4" t="s">
        <v>41</v>
      </c>
      <c r="F13" s="61">
        <f>(58+54+58+58+60+60+30+26+30+60+60+30)/600*100</f>
        <v>97.333333333333343</v>
      </c>
      <c r="G13" s="4" t="s">
        <v>328</v>
      </c>
      <c r="H13" s="4" t="s">
        <v>781</v>
      </c>
      <c r="I13" s="4">
        <v>64353</v>
      </c>
      <c r="J13" s="4">
        <v>418</v>
      </c>
      <c r="K13" s="4">
        <v>94.91</v>
      </c>
      <c r="L13" s="35" t="s">
        <v>753</v>
      </c>
      <c r="M13" s="4" t="s">
        <v>328</v>
      </c>
      <c r="N13" s="62" t="s">
        <v>782</v>
      </c>
      <c r="O13" s="30">
        <f t="shared" si="0"/>
        <v>60.492040520984084</v>
      </c>
      <c r="P13" s="30">
        <v>41.777134587554265</v>
      </c>
      <c r="Q13" s="30">
        <f t="shared" si="1"/>
        <v>18.714905933429819</v>
      </c>
      <c r="R13" s="30">
        <f t="shared" si="2"/>
        <v>350.24770409712664</v>
      </c>
    </row>
    <row r="14" spans="1:18" ht="15.75" x14ac:dyDescent="0.25">
      <c r="A14" s="4">
        <v>10</v>
      </c>
      <c r="B14" s="36" t="s">
        <v>783</v>
      </c>
      <c r="C14" s="4">
        <v>500903164</v>
      </c>
      <c r="D14" s="34" t="s">
        <v>784</v>
      </c>
      <c r="E14" s="4" t="s">
        <v>43</v>
      </c>
      <c r="F14" s="61">
        <f>(56+46+53+58+60+60+60+55+30+30+30+28)/600*100</f>
        <v>94.333333333333343</v>
      </c>
      <c r="G14" s="4" t="s">
        <v>328</v>
      </c>
      <c r="H14" s="4" t="s">
        <v>785</v>
      </c>
      <c r="I14" s="4">
        <v>66726</v>
      </c>
      <c r="J14" s="4">
        <v>414</v>
      </c>
      <c r="K14" s="4">
        <v>94.69</v>
      </c>
      <c r="L14" s="4" t="s">
        <v>753</v>
      </c>
      <c r="M14" s="4" t="s">
        <v>328</v>
      </c>
      <c r="N14" s="87">
        <v>8008222161</v>
      </c>
      <c r="O14" s="30">
        <f t="shared" si="0"/>
        <v>59.913169319826338</v>
      </c>
      <c r="P14" s="30">
        <v>41.777134587554265</v>
      </c>
      <c r="Q14" s="30">
        <f t="shared" si="1"/>
        <v>18.136034732272073</v>
      </c>
      <c r="R14" s="30">
        <f t="shared" si="2"/>
        <v>328.91575581017895</v>
      </c>
    </row>
    <row r="15" spans="1:18" ht="15.75" x14ac:dyDescent="0.25">
      <c r="A15" s="4">
        <v>11</v>
      </c>
      <c r="B15" s="33" t="s">
        <v>786</v>
      </c>
      <c r="C15" s="4">
        <v>500807319</v>
      </c>
      <c r="D15" s="34" t="s">
        <v>787</v>
      </c>
      <c r="E15" s="4" t="s">
        <v>43</v>
      </c>
      <c r="F15" s="61">
        <f>(60+58+59+57+60+55+26+29+21+60+56+30)/600*100</f>
        <v>95.166666666666671</v>
      </c>
      <c r="G15" s="4" t="s">
        <v>328</v>
      </c>
      <c r="H15" s="4" t="s">
        <v>788</v>
      </c>
      <c r="I15" s="4">
        <v>67531</v>
      </c>
      <c r="J15" s="4">
        <v>413</v>
      </c>
      <c r="K15" s="4">
        <v>94.64</v>
      </c>
      <c r="L15" s="4" t="s">
        <v>758</v>
      </c>
      <c r="M15" s="4" t="s">
        <v>328</v>
      </c>
      <c r="N15" s="87">
        <v>9951703003</v>
      </c>
      <c r="O15" s="30">
        <f t="shared" si="0"/>
        <v>59.768451519536903</v>
      </c>
      <c r="P15" s="30">
        <v>41.777134587554265</v>
      </c>
      <c r="Q15" s="30">
        <f t="shared" si="1"/>
        <v>17.991316931982638</v>
      </c>
      <c r="R15" s="30">
        <f t="shared" si="2"/>
        <v>323.68748494704516</v>
      </c>
    </row>
    <row r="16" spans="1:18" ht="30" x14ac:dyDescent="0.25">
      <c r="A16" s="4">
        <v>12</v>
      </c>
      <c r="B16" s="33" t="s">
        <v>789</v>
      </c>
      <c r="C16" s="4">
        <v>500809920</v>
      </c>
      <c r="D16" s="34" t="s">
        <v>575</v>
      </c>
      <c r="E16" s="4" t="s">
        <v>33</v>
      </c>
      <c r="F16" s="61">
        <f>(60+58+55+51+58+60+59+59+30+90)/600*100</f>
        <v>96.666666666666671</v>
      </c>
      <c r="G16" s="4" t="s">
        <v>328</v>
      </c>
      <c r="H16" s="4" t="s">
        <v>790</v>
      </c>
      <c r="I16" s="4">
        <v>68130</v>
      </c>
      <c r="J16" s="4">
        <v>412</v>
      </c>
      <c r="K16" s="4">
        <v>94.58</v>
      </c>
      <c r="L16" s="35" t="s">
        <v>791</v>
      </c>
      <c r="M16" s="4" t="s">
        <v>328</v>
      </c>
      <c r="N16" s="62" t="s">
        <v>792</v>
      </c>
      <c r="O16" s="30">
        <f t="shared" si="0"/>
        <v>59.623733719247468</v>
      </c>
      <c r="P16" s="30">
        <v>41.777134587554265</v>
      </c>
      <c r="Q16" s="30">
        <f t="shared" si="1"/>
        <v>17.846599131693203</v>
      </c>
      <c r="R16" s="30">
        <f t="shared" si="2"/>
        <v>318.50110056735258</v>
      </c>
    </row>
    <row r="17" spans="1:18" ht="30" x14ac:dyDescent="0.25">
      <c r="A17" s="4">
        <v>13</v>
      </c>
      <c r="B17" s="33" t="s">
        <v>793</v>
      </c>
      <c r="C17" s="4">
        <v>500907440</v>
      </c>
      <c r="D17" s="34" t="s">
        <v>794</v>
      </c>
      <c r="E17" s="35" t="s">
        <v>61</v>
      </c>
      <c r="F17" s="64">
        <f>(60+60+60+60+60+57+30+27+30+60+60+30)/600*100</f>
        <v>99</v>
      </c>
      <c r="G17" s="4" t="s">
        <v>328</v>
      </c>
      <c r="H17" s="4" t="s">
        <v>795</v>
      </c>
      <c r="I17" s="4">
        <v>68207</v>
      </c>
      <c r="J17" s="4">
        <v>412</v>
      </c>
      <c r="K17" s="35">
        <v>94.58</v>
      </c>
      <c r="L17" s="35" t="s">
        <v>758</v>
      </c>
      <c r="M17" s="4" t="s">
        <v>328</v>
      </c>
      <c r="N17" s="62" t="s">
        <v>796</v>
      </c>
      <c r="O17" s="30">
        <f t="shared" si="0"/>
        <v>59.623733719247468</v>
      </c>
      <c r="P17" s="30">
        <v>41.777134587554265</v>
      </c>
      <c r="Q17" s="30">
        <f t="shared" si="1"/>
        <v>17.846599131693203</v>
      </c>
      <c r="R17" s="30">
        <f t="shared" si="2"/>
        <v>318.50110056735258</v>
      </c>
    </row>
    <row r="18" spans="1:18" ht="45" x14ac:dyDescent="0.25">
      <c r="A18" s="4">
        <v>14</v>
      </c>
      <c r="B18" s="33" t="s">
        <v>797</v>
      </c>
      <c r="C18" s="4">
        <v>500202241</v>
      </c>
      <c r="D18" s="34" t="s">
        <v>798</v>
      </c>
      <c r="E18" s="35" t="s">
        <v>33</v>
      </c>
      <c r="F18" s="64">
        <f>(60+54+58+53+60+60+58+57+30+90)/600*100</f>
        <v>96.666666666666671</v>
      </c>
      <c r="G18" s="4" t="s">
        <v>328</v>
      </c>
      <c r="H18" s="4" t="s">
        <v>799</v>
      </c>
      <c r="I18" s="4">
        <v>68598</v>
      </c>
      <c r="J18" s="4">
        <v>412</v>
      </c>
      <c r="K18" s="35">
        <v>94.58</v>
      </c>
      <c r="L18" s="35" t="s">
        <v>791</v>
      </c>
      <c r="M18" s="4" t="s">
        <v>328</v>
      </c>
      <c r="N18" s="62" t="s">
        <v>800</v>
      </c>
      <c r="O18" s="30">
        <f t="shared" si="0"/>
        <v>59.623733719247468</v>
      </c>
      <c r="P18" s="30">
        <v>41.777134587554265</v>
      </c>
      <c r="Q18" s="30">
        <f t="shared" si="1"/>
        <v>17.846599131693203</v>
      </c>
      <c r="R18" s="30">
        <f t="shared" si="2"/>
        <v>318.50110056735258</v>
      </c>
    </row>
    <row r="19" spans="1:18" ht="31.5" x14ac:dyDescent="0.25">
      <c r="A19" s="4">
        <v>15</v>
      </c>
      <c r="B19" s="33" t="s">
        <v>801</v>
      </c>
      <c r="C19" s="4">
        <v>500806893</v>
      </c>
      <c r="D19" s="34" t="s">
        <v>802</v>
      </c>
      <c r="E19" s="35" t="s">
        <v>33</v>
      </c>
      <c r="F19" s="61">
        <f>(58+56+60+57+60+60+58+47+30+90)/600*100</f>
        <v>96</v>
      </c>
      <c r="G19" s="4" t="s">
        <v>328</v>
      </c>
      <c r="H19" s="4" t="s">
        <v>803</v>
      </c>
      <c r="I19" s="4">
        <v>69767</v>
      </c>
      <c r="J19" s="4">
        <v>410</v>
      </c>
      <c r="K19" s="4">
        <v>94.46</v>
      </c>
      <c r="L19" s="35" t="s">
        <v>791</v>
      </c>
      <c r="M19" s="4" t="s">
        <v>328</v>
      </c>
      <c r="N19" s="62" t="s">
        <v>804</v>
      </c>
      <c r="O19" s="30">
        <f t="shared" si="0"/>
        <v>59.334298118668599</v>
      </c>
      <c r="P19" s="30">
        <v>41.777134587554265</v>
      </c>
      <c r="Q19" s="30">
        <f t="shared" si="1"/>
        <v>17.557163531114334</v>
      </c>
      <c r="R19" s="30">
        <f t="shared" si="2"/>
        <v>308.25399125829114</v>
      </c>
    </row>
    <row r="20" spans="1:18" ht="30" x14ac:dyDescent="0.25">
      <c r="A20" s="4">
        <v>16</v>
      </c>
      <c r="B20" s="33" t="s">
        <v>805</v>
      </c>
      <c r="C20" s="4">
        <v>500804867</v>
      </c>
      <c r="D20" s="34" t="s">
        <v>806</v>
      </c>
      <c r="E20" s="35" t="s">
        <v>33</v>
      </c>
      <c r="F20" s="64">
        <f>(56+57+56+58+58+56+90+58+60+30)/600*100</f>
        <v>96.5</v>
      </c>
      <c r="G20" s="4" t="s">
        <v>328</v>
      </c>
      <c r="H20" s="4" t="s">
        <v>807</v>
      </c>
      <c r="I20" s="4">
        <v>70375</v>
      </c>
      <c r="J20" s="4">
        <v>409</v>
      </c>
      <c r="K20" s="35">
        <v>94.41</v>
      </c>
      <c r="L20" s="4" t="s">
        <v>808</v>
      </c>
      <c r="M20" s="4" t="s">
        <v>328</v>
      </c>
      <c r="N20" s="62" t="s">
        <v>809</v>
      </c>
      <c r="O20" s="30">
        <f t="shared" si="0"/>
        <v>59.189580318379157</v>
      </c>
      <c r="P20" s="30">
        <v>41.777134587554265</v>
      </c>
      <c r="Q20" s="30">
        <f t="shared" si="1"/>
        <v>17.412445730824892</v>
      </c>
      <c r="R20" s="30">
        <f t="shared" si="2"/>
        <v>303.19326632892199</v>
      </c>
    </row>
    <row r="21" spans="1:18" ht="30" x14ac:dyDescent="0.25">
      <c r="A21" s="4">
        <v>17</v>
      </c>
      <c r="B21" s="33" t="s">
        <v>810</v>
      </c>
      <c r="C21" s="4">
        <v>500906945</v>
      </c>
      <c r="D21" s="34" t="s">
        <v>575</v>
      </c>
      <c r="E21" s="4" t="s">
        <v>41</v>
      </c>
      <c r="F21" s="61">
        <f>(60+60+58+59+60+60+60+55+30+90)/600*100</f>
        <v>98.666666666666671</v>
      </c>
      <c r="G21" s="4" t="s">
        <v>328</v>
      </c>
      <c r="H21" s="4" t="s">
        <v>811</v>
      </c>
      <c r="I21" s="4">
        <v>72334</v>
      </c>
      <c r="J21" s="4">
        <v>407</v>
      </c>
      <c r="K21" s="4">
        <v>94.29</v>
      </c>
      <c r="L21" s="4" t="s">
        <v>758</v>
      </c>
      <c r="M21" s="4" t="s">
        <v>328</v>
      </c>
      <c r="N21" s="62" t="s">
        <v>812</v>
      </c>
      <c r="O21" s="30">
        <f t="shared" si="0"/>
        <v>58.900144717800288</v>
      </c>
      <c r="P21" s="30">
        <v>41.777134587554265</v>
      </c>
      <c r="Q21" s="30">
        <f t="shared" si="1"/>
        <v>17.123010130246023</v>
      </c>
      <c r="R21" s="30">
        <f t="shared" si="2"/>
        <v>293.19747592050794</v>
      </c>
    </row>
    <row r="22" spans="1:18" ht="15.75" x14ac:dyDescent="0.25">
      <c r="A22" s="4">
        <v>18</v>
      </c>
      <c r="B22" s="33" t="s">
        <v>813</v>
      </c>
      <c r="C22" s="4">
        <v>500800352</v>
      </c>
      <c r="D22" s="34" t="s">
        <v>814</v>
      </c>
      <c r="E22" s="35" t="s">
        <v>33</v>
      </c>
      <c r="F22" s="64">
        <f>(60+60+59+59+60+60+90+59+59+30)/600*100</f>
        <v>99.333333333333329</v>
      </c>
      <c r="G22" s="4" t="s">
        <v>328</v>
      </c>
      <c r="H22" s="4" t="s">
        <v>815</v>
      </c>
      <c r="I22" s="4">
        <v>72607</v>
      </c>
      <c r="J22" s="4">
        <v>406</v>
      </c>
      <c r="K22" s="35">
        <v>94.23</v>
      </c>
      <c r="L22" s="35" t="s">
        <v>758</v>
      </c>
      <c r="M22" s="4" t="s">
        <v>328</v>
      </c>
      <c r="N22" s="87">
        <v>9391995644</v>
      </c>
      <c r="O22" s="30">
        <f t="shared" si="0"/>
        <v>58.755426917510853</v>
      </c>
      <c r="P22" s="30">
        <v>41.777134587554265</v>
      </c>
      <c r="Q22" s="30">
        <f t="shared" si="1"/>
        <v>16.978292329956588</v>
      </c>
      <c r="R22" s="30">
        <f t="shared" si="2"/>
        <v>288.26241044146269</v>
      </c>
    </row>
    <row r="23" spans="1:18" ht="30" x14ac:dyDescent="0.25">
      <c r="A23" s="4">
        <v>19</v>
      </c>
      <c r="B23" s="33" t="s">
        <v>816</v>
      </c>
      <c r="C23" s="4">
        <v>500903702</v>
      </c>
      <c r="D23" s="34" t="s">
        <v>817</v>
      </c>
      <c r="E23" s="4" t="s">
        <v>39</v>
      </c>
      <c r="F23" s="61">
        <f>(57+60+58+53+59+58+58+42+29+30+30+25)/600*100</f>
        <v>93.166666666666657</v>
      </c>
      <c r="G23" s="4" t="s">
        <v>328</v>
      </c>
      <c r="H23" s="88" t="s">
        <v>818</v>
      </c>
      <c r="I23" s="88" t="s">
        <v>819</v>
      </c>
      <c r="J23" s="4">
        <v>404</v>
      </c>
      <c r="K23" s="4">
        <v>94.11</v>
      </c>
      <c r="L23" s="4" t="s">
        <v>820</v>
      </c>
      <c r="M23" s="4" t="s">
        <v>328</v>
      </c>
      <c r="N23" s="62" t="s">
        <v>821</v>
      </c>
      <c r="O23" s="30">
        <f t="shared" si="0"/>
        <v>58.465991316931984</v>
      </c>
      <c r="P23" s="30">
        <v>41.777134587554265</v>
      </c>
      <c r="Q23" s="30">
        <f t="shared" si="1"/>
        <v>16.688856729377719</v>
      </c>
      <c r="R23" s="30">
        <f t="shared" si="2"/>
        <v>278.51793893369597</v>
      </c>
    </row>
    <row r="24" spans="1:18" ht="31.5" x14ac:dyDescent="0.25">
      <c r="A24" s="4">
        <v>20</v>
      </c>
      <c r="B24" s="33" t="s">
        <v>822</v>
      </c>
      <c r="C24" s="4">
        <v>500804638</v>
      </c>
      <c r="D24" s="34" t="s">
        <v>620</v>
      </c>
      <c r="E24" s="4" t="s">
        <v>382</v>
      </c>
      <c r="F24" s="61">
        <f>(60+60+57+60+60+60+60+60+29+29+30+30)/600*100</f>
        <v>99.166666666666671</v>
      </c>
      <c r="G24" s="4" t="s">
        <v>328</v>
      </c>
      <c r="H24" s="4" t="s">
        <v>823</v>
      </c>
      <c r="I24" s="4">
        <v>75007</v>
      </c>
      <c r="J24" s="4">
        <v>403</v>
      </c>
      <c r="K24" s="4">
        <v>94.05</v>
      </c>
      <c r="L24" s="4" t="s">
        <v>791</v>
      </c>
      <c r="M24" s="4" t="s">
        <v>328</v>
      </c>
      <c r="N24" s="62" t="s">
        <v>824</v>
      </c>
      <c r="O24" s="30">
        <f t="shared" si="0"/>
        <v>58.321273516642549</v>
      </c>
      <c r="P24" s="30">
        <v>41.777134587554265</v>
      </c>
      <c r="Q24" s="30">
        <f t="shared" si="1"/>
        <v>16.544138929088284</v>
      </c>
      <c r="R24" s="30">
        <f t="shared" si="2"/>
        <v>273.70853290497445</v>
      </c>
    </row>
    <row r="25" spans="1:18" ht="45" x14ac:dyDescent="0.25">
      <c r="A25" s="4">
        <v>21</v>
      </c>
      <c r="B25" s="33" t="s">
        <v>825</v>
      </c>
      <c r="C25" s="4">
        <v>500908555</v>
      </c>
      <c r="D25" s="34" t="s">
        <v>826</v>
      </c>
      <c r="E25" s="35" t="s">
        <v>33</v>
      </c>
      <c r="F25" s="64">
        <f>(58+58+57+60+60+60+60+60+30+90)/600*100</f>
        <v>98.833333333333329</v>
      </c>
      <c r="G25" s="4" t="s">
        <v>328</v>
      </c>
      <c r="H25" s="4" t="s">
        <v>827</v>
      </c>
      <c r="I25" s="4">
        <v>75531</v>
      </c>
      <c r="J25" s="4">
        <v>402</v>
      </c>
      <c r="K25" s="35">
        <v>93.99</v>
      </c>
      <c r="L25" s="35" t="s">
        <v>791</v>
      </c>
      <c r="M25" s="4" t="s">
        <v>328</v>
      </c>
      <c r="N25" s="62" t="s">
        <v>828</v>
      </c>
      <c r="O25" s="30">
        <f t="shared" si="0"/>
        <v>58.176555716353114</v>
      </c>
      <c r="P25" s="30">
        <v>41.777134587554265</v>
      </c>
      <c r="Q25" s="30">
        <f t="shared" si="1"/>
        <v>16.399421128798849</v>
      </c>
      <c r="R25" s="30">
        <f t="shared" si="2"/>
        <v>268.94101335969413</v>
      </c>
    </row>
    <row r="26" spans="1:18" ht="45" x14ac:dyDescent="0.25">
      <c r="A26" s="4">
        <v>22</v>
      </c>
      <c r="B26" s="33" t="s">
        <v>829</v>
      </c>
      <c r="C26" s="4">
        <v>500903076</v>
      </c>
      <c r="D26" s="34" t="s">
        <v>357</v>
      </c>
      <c r="E26" s="4" t="s">
        <v>382</v>
      </c>
      <c r="F26" s="61">
        <f>(60+59+59+60+60+60+30+30+25+60+60+30)/600*100</f>
        <v>98.833333333333329</v>
      </c>
      <c r="G26" s="4" t="s">
        <v>328</v>
      </c>
      <c r="H26" s="4" t="s">
        <v>830</v>
      </c>
      <c r="I26" s="4">
        <v>77041</v>
      </c>
      <c r="J26" s="4">
        <v>400</v>
      </c>
      <c r="K26" s="4">
        <v>93.87</v>
      </c>
      <c r="L26" s="35" t="s">
        <v>758</v>
      </c>
      <c r="M26" s="4" t="s">
        <v>328</v>
      </c>
      <c r="N26" s="62" t="s">
        <v>831</v>
      </c>
      <c r="O26" s="30">
        <f t="shared" si="0"/>
        <v>57.887120115774238</v>
      </c>
      <c r="P26" s="30">
        <v>41.777134587554265</v>
      </c>
      <c r="Q26" s="30">
        <f t="shared" si="1"/>
        <v>16.109985528219973</v>
      </c>
      <c r="R26" s="30">
        <f t="shared" si="2"/>
        <v>259.53163371945698</v>
      </c>
    </row>
    <row r="27" spans="1:18" ht="45" x14ac:dyDescent="0.25">
      <c r="A27" s="4">
        <v>23</v>
      </c>
      <c r="B27" s="33" t="s">
        <v>832</v>
      </c>
      <c r="C27" s="4">
        <v>500816680</v>
      </c>
      <c r="D27" s="34" t="s">
        <v>794</v>
      </c>
      <c r="E27" s="35" t="s">
        <v>33</v>
      </c>
      <c r="F27" s="64">
        <f>(60+57+55+58+60+60+90+59+60+30)/600*100</f>
        <v>98.166666666666671</v>
      </c>
      <c r="G27" s="4" t="s">
        <v>328</v>
      </c>
      <c r="H27" s="4" t="s">
        <v>833</v>
      </c>
      <c r="I27" s="4">
        <v>77121</v>
      </c>
      <c r="J27" s="4">
        <v>400</v>
      </c>
      <c r="K27" s="35">
        <v>93.87</v>
      </c>
      <c r="L27" s="35" t="s">
        <v>791</v>
      </c>
      <c r="M27" s="4" t="s">
        <v>328</v>
      </c>
      <c r="N27" s="62" t="s">
        <v>834</v>
      </c>
      <c r="O27" s="30">
        <f t="shared" si="0"/>
        <v>57.887120115774238</v>
      </c>
      <c r="P27" s="30">
        <v>41.777134587554265</v>
      </c>
      <c r="Q27" s="30">
        <f t="shared" si="1"/>
        <v>16.109985528219973</v>
      </c>
      <c r="R27" s="30">
        <f t="shared" si="2"/>
        <v>259.53163371945698</v>
      </c>
    </row>
    <row r="28" spans="1:18" ht="15.75" x14ac:dyDescent="0.25">
      <c r="A28" s="4">
        <v>24</v>
      </c>
      <c r="B28" s="89" t="s">
        <v>835</v>
      </c>
      <c r="C28" s="4">
        <v>500802199</v>
      </c>
      <c r="D28" s="34" t="s">
        <v>342</v>
      </c>
      <c r="E28" s="35" t="s">
        <v>41</v>
      </c>
      <c r="F28" s="64">
        <f>(60+60+58+60+60+60+90+60+60+30)/600*100</f>
        <v>99.666666666666671</v>
      </c>
      <c r="G28" s="4" t="s">
        <v>328</v>
      </c>
      <c r="H28" s="4" t="s">
        <v>836</v>
      </c>
      <c r="I28" s="4">
        <v>81436</v>
      </c>
      <c r="J28" s="4">
        <v>395</v>
      </c>
      <c r="K28" s="35">
        <v>93.56</v>
      </c>
      <c r="L28" s="35" t="s">
        <v>758</v>
      </c>
      <c r="M28" s="4" t="s">
        <v>328</v>
      </c>
      <c r="N28" s="66">
        <v>8297669999</v>
      </c>
      <c r="O28" s="30">
        <f t="shared" si="0"/>
        <v>57.163531114327064</v>
      </c>
      <c r="P28" s="30">
        <v>41.777134587554265</v>
      </c>
      <c r="Q28" s="30">
        <f t="shared" si="1"/>
        <v>15.386396526772799</v>
      </c>
      <c r="R28" s="30">
        <f t="shared" si="2"/>
        <v>236.74119807908605</v>
      </c>
    </row>
    <row r="29" spans="1:18" ht="45" x14ac:dyDescent="0.25">
      <c r="A29" s="4">
        <v>25</v>
      </c>
      <c r="B29" s="36" t="s">
        <v>837</v>
      </c>
      <c r="C29" s="4">
        <v>50090364</v>
      </c>
      <c r="D29" s="34" t="s">
        <v>838</v>
      </c>
      <c r="E29" s="35" t="s">
        <v>39</v>
      </c>
      <c r="F29" s="64">
        <f>(59+59+60+55+60+60+90+60+53+28)/600*100</f>
        <v>97.333333333333343</v>
      </c>
      <c r="G29" s="4" t="s">
        <v>328</v>
      </c>
      <c r="H29" s="4" t="s">
        <v>839</v>
      </c>
      <c r="I29" s="4">
        <v>81598</v>
      </c>
      <c r="J29" s="4">
        <v>395</v>
      </c>
      <c r="K29" s="4">
        <v>93.56</v>
      </c>
      <c r="L29" s="35" t="s">
        <v>791</v>
      </c>
      <c r="M29" s="4" t="s">
        <v>328</v>
      </c>
      <c r="N29" s="62" t="s">
        <v>840</v>
      </c>
      <c r="O29" s="30">
        <f t="shared" si="0"/>
        <v>57.163531114327064</v>
      </c>
      <c r="P29" s="30">
        <v>41.777134587554265</v>
      </c>
      <c r="Q29" s="30">
        <f t="shared" si="1"/>
        <v>15.386396526772799</v>
      </c>
      <c r="R29" s="30">
        <f t="shared" si="2"/>
        <v>236.74119807908605</v>
      </c>
    </row>
    <row r="30" spans="1:18" ht="30" x14ac:dyDescent="0.25">
      <c r="A30" s="4">
        <v>26</v>
      </c>
      <c r="B30" s="33" t="s">
        <v>841</v>
      </c>
      <c r="C30" s="4">
        <v>500808273</v>
      </c>
      <c r="D30" s="34" t="s">
        <v>842</v>
      </c>
      <c r="E30" s="4" t="s">
        <v>41</v>
      </c>
      <c r="F30" s="61">
        <f>(60+56+59+58+59+59+60+60+30+29+29+30)/600*100</f>
        <v>98.166666666666671</v>
      </c>
      <c r="G30" s="4" t="s">
        <v>328</v>
      </c>
      <c r="H30" s="4" t="s">
        <v>843</v>
      </c>
      <c r="I30" s="4">
        <v>87649</v>
      </c>
      <c r="J30" s="4">
        <v>387</v>
      </c>
      <c r="K30" s="4">
        <v>93.05</v>
      </c>
      <c r="L30" s="35" t="s">
        <v>753</v>
      </c>
      <c r="M30" s="4" t="s">
        <v>328</v>
      </c>
      <c r="N30" s="62" t="s">
        <v>844</v>
      </c>
      <c r="O30" s="30">
        <f t="shared" si="0"/>
        <v>56.005788712011579</v>
      </c>
      <c r="P30" s="30">
        <v>41.777134587554265</v>
      </c>
      <c r="Q30" s="30">
        <f t="shared" si="1"/>
        <v>14.228654124457314</v>
      </c>
      <c r="R30" s="30">
        <f t="shared" si="2"/>
        <v>202.45459819343614</v>
      </c>
    </row>
    <row r="31" spans="1:18" ht="45" x14ac:dyDescent="0.25">
      <c r="A31" s="4">
        <v>27</v>
      </c>
      <c r="B31" s="33" t="s">
        <v>845</v>
      </c>
      <c r="C31" s="4">
        <v>500907595</v>
      </c>
      <c r="D31" s="34" t="s">
        <v>846</v>
      </c>
      <c r="E31" s="4" t="s">
        <v>43</v>
      </c>
      <c r="F31" s="61">
        <f>(60+58+60+54+58+60+29+30+30+60+59+30)/600*100</f>
        <v>98</v>
      </c>
      <c r="G31" s="4" t="s">
        <v>328</v>
      </c>
      <c r="H31" s="4" t="s">
        <v>847</v>
      </c>
      <c r="I31" s="4">
        <v>90105</v>
      </c>
      <c r="J31" s="4">
        <v>384</v>
      </c>
      <c r="K31" s="4">
        <v>92.85</v>
      </c>
      <c r="L31" s="4" t="s">
        <v>753</v>
      </c>
      <c r="M31" s="4" t="s">
        <v>328</v>
      </c>
      <c r="N31" s="62" t="s">
        <v>848</v>
      </c>
      <c r="O31" s="30">
        <f t="shared" si="0"/>
        <v>55.571635311143268</v>
      </c>
      <c r="P31" s="30">
        <v>41.777134587554265</v>
      </c>
      <c r="Q31" s="30">
        <f t="shared" si="1"/>
        <v>13.794500723589003</v>
      </c>
      <c r="R31" s="30">
        <f t="shared" si="2"/>
        <v>190.28825021309754</v>
      </c>
    </row>
    <row r="32" spans="1:18" ht="45" x14ac:dyDescent="0.25">
      <c r="A32" s="4">
        <v>28</v>
      </c>
      <c r="B32" s="33" t="s">
        <v>849</v>
      </c>
      <c r="C32" s="4">
        <v>500206073</v>
      </c>
      <c r="D32" s="34" t="s">
        <v>850</v>
      </c>
      <c r="E32" s="35" t="s">
        <v>33</v>
      </c>
      <c r="F32" s="61">
        <f>(51+30+28+56+40+59+50+56+48+26+30+29)/600*100</f>
        <v>83.833333333333343</v>
      </c>
      <c r="G32" s="4" t="s">
        <v>328</v>
      </c>
      <c r="H32" s="4" t="s">
        <v>88</v>
      </c>
      <c r="I32" s="4">
        <v>90298</v>
      </c>
      <c r="J32" s="4">
        <v>384</v>
      </c>
      <c r="K32" s="4">
        <v>92.85</v>
      </c>
      <c r="L32" s="4" t="s">
        <v>808</v>
      </c>
      <c r="M32" s="4" t="s">
        <v>328</v>
      </c>
      <c r="N32" s="62" t="s">
        <v>851</v>
      </c>
      <c r="O32" s="30">
        <f t="shared" si="0"/>
        <v>55.571635311143268</v>
      </c>
      <c r="P32" s="30">
        <v>41.777134587554265</v>
      </c>
      <c r="Q32" s="30">
        <f t="shared" si="1"/>
        <v>13.794500723589003</v>
      </c>
      <c r="R32" s="30">
        <f t="shared" si="2"/>
        <v>190.28825021309754</v>
      </c>
    </row>
    <row r="33" spans="1:18" ht="45" x14ac:dyDescent="0.25">
      <c r="A33" s="4">
        <v>29</v>
      </c>
      <c r="B33" s="33" t="s">
        <v>852</v>
      </c>
      <c r="C33" s="4">
        <v>500901207</v>
      </c>
      <c r="D33" s="34" t="s">
        <v>705</v>
      </c>
      <c r="E33" s="4" t="s">
        <v>39</v>
      </c>
      <c r="F33" s="61">
        <f>(60+60+58+59+60+59+28+30+30+60+60+30)/600*100</f>
        <v>99</v>
      </c>
      <c r="G33" s="4" t="s">
        <v>328</v>
      </c>
      <c r="H33" s="4" t="s">
        <v>853</v>
      </c>
      <c r="I33" s="4">
        <v>90737</v>
      </c>
      <c r="J33" s="4">
        <v>383</v>
      </c>
      <c r="K33" s="4">
        <v>92.79</v>
      </c>
      <c r="L33" s="4" t="s">
        <v>808</v>
      </c>
      <c r="M33" s="4" t="s">
        <v>328</v>
      </c>
      <c r="N33" s="62" t="s">
        <v>854</v>
      </c>
      <c r="O33" s="30">
        <f t="shared" si="0"/>
        <v>55.426917510853833</v>
      </c>
      <c r="P33" s="30">
        <v>41.777134587554265</v>
      </c>
      <c r="Q33" s="30">
        <f t="shared" si="1"/>
        <v>13.649782923299568</v>
      </c>
      <c r="R33" s="30">
        <f t="shared" si="2"/>
        <v>186.31657385320051</v>
      </c>
    </row>
    <row r="34" spans="1:18" ht="45" x14ac:dyDescent="0.25">
      <c r="A34" s="4">
        <v>30</v>
      </c>
      <c r="B34" s="90" t="s">
        <v>855</v>
      </c>
      <c r="C34" s="4">
        <v>500816657</v>
      </c>
      <c r="D34" s="34" t="s">
        <v>856</v>
      </c>
      <c r="E34" s="35" t="s">
        <v>41</v>
      </c>
      <c r="F34" s="64">
        <f>(55+51+60+60+59+40+57+47+29+30+30+29)/600*100</f>
        <v>91.166666666666657</v>
      </c>
      <c r="G34" s="4" t="s">
        <v>328</v>
      </c>
      <c r="H34" s="4" t="s">
        <v>857</v>
      </c>
      <c r="I34" s="4">
        <v>92739</v>
      </c>
      <c r="J34" s="4">
        <v>381</v>
      </c>
      <c r="K34" s="35">
        <v>92.66</v>
      </c>
      <c r="L34" s="35" t="s">
        <v>791</v>
      </c>
      <c r="M34" s="4" t="s">
        <v>328</v>
      </c>
      <c r="N34" s="62" t="s">
        <v>858</v>
      </c>
      <c r="O34" s="30">
        <f t="shared" si="0"/>
        <v>55.137481910274964</v>
      </c>
      <c r="P34" s="30">
        <v>41.777134587554265</v>
      </c>
      <c r="Q34" s="30">
        <f t="shared" si="1"/>
        <v>13.360347322720699</v>
      </c>
      <c r="R34" s="30">
        <f t="shared" si="2"/>
        <v>178.49888058373014</v>
      </c>
    </row>
    <row r="35" spans="1:18" ht="45" x14ac:dyDescent="0.25">
      <c r="A35" s="4">
        <v>31</v>
      </c>
      <c r="B35" s="33" t="s">
        <v>859</v>
      </c>
      <c r="C35" s="4">
        <v>500802593</v>
      </c>
      <c r="D35" s="34" t="s">
        <v>860</v>
      </c>
      <c r="E35" s="4" t="s">
        <v>382</v>
      </c>
      <c r="F35" s="61">
        <f>(60+60+59+50+60+56+60+60+29+29+28+30)/600*100</f>
        <v>96.833333333333343</v>
      </c>
      <c r="G35" s="4" t="s">
        <v>328</v>
      </c>
      <c r="H35" s="4" t="s">
        <v>861</v>
      </c>
      <c r="I35" s="4">
        <v>93464</v>
      </c>
      <c r="J35" s="4">
        <v>380</v>
      </c>
      <c r="K35" s="4">
        <v>92.59</v>
      </c>
      <c r="L35" s="4" t="s">
        <v>791</v>
      </c>
      <c r="M35" s="4" t="s">
        <v>328</v>
      </c>
      <c r="N35" s="62" t="s">
        <v>862</v>
      </c>
      <c r="O35" s="30">
        <f t="shared" si="0"/>
        <v>54.992764109985529</v>
      </c>
      <c r="P35" s="30">
        <v>41.777134587554265</v>
      </c>
      <c r="Q35" s="30">
        <f t="shared" si="1"/>
        <v>13.215629522431264</v>
      </c>
      <c r="R35" s="30">
        <f t="shared" si="2"/>
        <v>174.65286367415681</v>
      </c>
    </row>
    <row r="36" spans="1:18" ht="31.5" x14ac:dyDescent="0.25">
      <c r="A36" s="4">
        <v>32</v>
      </c>
      <c r="B36" s="33" t="s">
        <v>863</v>
      </c>
      <c r="C36" s="4">
        <v>500500033</v>
      </c>
      <c r="D36" s="34" t="s">
        <v>864</v>
      </c>
      <c r="E36" s="35" t="s">
        <v>33</v>
      </c>
      <c r="F36" s="61">
        <f>(60+60+59+58+59+60+60+60+120)/600*100</f>
        <v>99.333333333333329</v>
      </c>
      <c r="G36" s="4" t="s">
        <v>328</v>
      </c>
      <c r="H36" s="4" t="s">
        <v>865</v>
      </c>
      <c r="I36" s="4">
        <v>100480</v>
      </c>
      <c r="J36" s="4">
        <v>372</v>
      </c>
      <c r="K36" s="4">
        <v>92.04</v>
      </c>
      <c r="L36" s="4" t="s">
        <v>866</v>
      </c>
      <c r="M36" s="4" t="s">
        <v>328</v>
      </c>
      <c r="N36" s="62">
        <v>9248350525</v>
      </c>
      <c r="O36" s="30">
        <f t="shared" si="0"/>
        <v>53.835021707670045</v>
      </c>
      <c r="P36" s="30">
        <v>41.777134587554265</v>
      </c>
      <c r="Q36" s="30">
        <f t="shared" si="1"/>
        <v>12.05788712011578</v>
      </c>
      <c r="R36" s="30">
        <f t="shared" si="2"/>
        <v>145.392641801454</v>
      </c>
    </row>
    <row r="37" spans="1:18" ht="30" x14ac:dyDescent="0.25">
      <c r="A37" s="4">
        <v>33</v>
      </c>
      <c r="B37" s="36" t="s">
        <v>867</v>
      </c>
      <c r="C37" s="4">
        <v>512506829</v>
      </c>
      <c r="D37" s="34" t="s">
        <v>868</v>
      </c>
      <c r="E37" s="35" t="s">
        <v>39</v>
      </c>
      <c r="F37" s="61">
        <f>(60+54+57+52+59+60+54+38+30+30+30+30)/600*100</f>
        <v>92.333333333333329</v>
      </c>
      <c r="G37" s="4" t="s">
        <v>328</v>
      </c>
      <c r="H37" s="4" t="s">
        <v>869</v>
      </c>
      <c r="I37" s="4">
        <v>105086</v>
      </c>
      <c r="J37" s="4">
        <v>367</v>
      </c>
      <c r="K37" s="4">
        <v>91.67</v>
      </c>
      <c r="L37" s="4" t="s">
        <v>866</v>
      </c>
      <c r="M37" s="4" t="s">
        <v>328</v>
      </c>
      <c r="N37" s="62" t="s">
        <v>870</v>
      </c>
      <c r="O37" s="30">
        <f t="shared" si="0"/>
        <v>53.111432706222864</v>
      </c>
      <c r="P37" s="30">
        <v>41.777134587554265</v>
      </c>
      <c r="Q37" s="30">
        <f t="shared" si="1"/>
        <v>11.334298118668599</v>
      </c>
      <c r="R37" s="30">
        <f t="shared" si="2"/>
        <v>128.46631384285453</v>
      </c>
    </row>
    <row r="38" spans="1:18" ht="45" x14ac:dyDescent="0.25">
      <c r="A38" s="4">
        <v>34</v>
      </c>
      <c r="B38" s="33" t="s">
        <v>871</v>
      </c>
      <c r="C38" s="4">
        <v>512523926</v>
      </c>
      <c r="D38" s="34" t="s">
        <v>375</v>
      </c>
      <c r="E38" s="35" t="s">
        <v>43</v>
      </c>
      <c r="F38" s="64">
        <f>(60+52+49+59+59+60+90+60+60+29)/600*100</f>
        <v>96.333333333333343</v>
      </c>
      <c r="G38" s="4" t="s">
        <v>328</v>
      </c>
      <c r="H38" s="4" t="s">
        <v>872</v>
      </c>
      <c r="I38" s="4">
        <v>106881</v>
      </c>
      <c r="J38" s="4">
        <v>365</v>
      </c>
      <c r="K38" s="35">
        <v>91.52</v>
      </c>
      <c r="L38" s="35" t="s">
        <v>808</v>
      </c>
      <c r="M38" s="4" t="s">
        <v>328</v>
      </c>
      <c r="N38" s="62" t="s">
        <v>873</v>
      </c>
      <c r="O38" s="30">
        <f t="shared" si="0"/>
        <v>52.821997105643995</v>
      </c>
      <c r="P38" s="30">
        <v>41.777134587554265</v>
      </c>
      <c r="Q38" s="30">
        <f t="shared" si="1"/>
        <v>11.04486251808973</v>
      </c>
      <c r="R38" s="30">
        <f t="shared" si="2"/>
        <v>121.9889880435034</v>
      </c>
    </row>
    <row r="39" spans="1:18" ht="45" x14ac:dyDescent="0.25">
      <c r="A39" s="4">
        <v>35</v>
      </c>
      <c r="B39" s="33" t="s">
        <v>874</v>
      </c>
      <c r="C39" s="4">
        <v>500903624</v>
      </c>
      <c r="D39" s="34" t="s">
        <v>875</v>
      </c>
      <c r="E39" s="35" t="s">
        <v>43</v>
      </c>
      <c r="F39" s="64">
        <f>(57+50+56+55+58+60+90+58+60+30)/600*100</f>
        <v>95.666666666666671</v>
      </c>
      <c r="G39" s="4" t="s">
        <v>328</v>
      </c>
      <c r="H39" s="4" t="s">
        <v>876</v>
      </c>
      <c r="I39" s="4">
        <v>107067</v>
      </c>
      <c r="J39" s="4">
        <v>365</v>
      </c>
      <c r="K39" s="35">
        <v>91.52</v>
      </c>
      <c r="L39" s="35" t="s">
        <v>808</v>
      </c>
      <c r="M39" s="4" t="s">
        <v>328</v>
      </c>
      <c r="N39" s="62" t="s">
        <v>877</v>
      </c>
      <c r="O39" s="30">
        <f t="shared" si="0"/>
        <v>52.821997105643995</v>
      </c>
      <c r="P39" s="30">
        <v>41.777134587554265</v>
      </c>
      <c r="Q39" s="30">
        <f t="shared" si="1"/>
        <v>11.04486251808973</v>
      </c>
      <c r="R39" s="30">
        <f t="shared" si="2"/>
        <v>121.9889880435034</v>
      </c>
    </row>
    <row r="40" spans="1:18" ht="31.5" x14ac:dyDescent="0.25">
      <c r="A40" s="4">
        <v>36</v>
      </c>
      <c r="B40" s="33" t="s">
        <v>878</v>
      </c>
      <c r="C40" s="4">
        <v>500804921</v>
      </c>
      <c r="D40" s="34" t="s">
        <v>879</v>
      </c>
      <c r="E40" s="4" t="s">
        <v>41</v>
      </c>
      <c r="F40" s="61">
        <f>(60+53+58+56+60+60+60+60+30+90)/600*100</f>
        <v>97.833333333333343</v>
      </c>
      <c r="G40" s="4" t="s">
        <v>328</v>
      </c>
      <c r="H40" s="4" t="s">
        <v>880</v>
      </c>
      <c r="I40" s="4">
        <v>108941</v>
      </c>
      <c r="J40" s="4">
        <v>363</v>
      </c>
      <c r="K40" s="4">
        <v>91.37</v>
      </c>
      <c r="L40" s="4" t="s">
        <v>808</v>
      </c>
      <c r="M40" s="4" t="s">
        <v>328</v>
      </c>
      <c r="N40" s="62" t="s">
        <v>881</v>
      </c>
      <c r="O40" s="30">
        <f t="shared" si="0"/>
        <v>52.532561505065125</v>
      </c>
      <c r="P40" s="30">
        <v>41.777134587554265</v>
      </c>
      <c r="Q40" s="30">
        <f t="shared" si="1"/>
        <v>10.75542691751086</v>
      </c>
      <c r="R40" s="30">
        <f t="shared" si="2"/>
        <v>115.67920817791716</v>
      </c>
    </row>
    <row r="41" spans="1:18" ht="31.5" x14ac:dyDescent="0.25">
      <c r="A41" s="4">
        <v>37</v>
      </c>
      <c r="B41" s="33" t="s">
        <v>882</v>
      </c>
      <c r="C41" s="4">
        <v>500815733</v>
      </c>
      <c r="D41" s="34" t="s">
        <v>883</v>
      </c>
      <c r="E41" s="4" t="s">
        <v>37</v>
      </c>
      <c r="F41" s="61">
        <f>(60+60+60+57+60+60+60+60+30+90)/600*100</f>
        <v>99.5</v>
      </c>
      <c r="G41" s="4" t="s">
        <v>328</v>
      </c>
      <c r="H41" s="4" t="s">
        <v>884</v>
      </c>
      <c r="I41" s="4">
        <v>120484</v>
      </c>
      <c r="J41" s="4">
        <v>351</v>
      </c>
      <c r="K41" s="4">
        <v>90.43</v>
      </c>
      <c r="L41" s="4" t="s">
        <v>753</v>
      </c>
      <c r="M41" s="4" t="s">
        <v>328</v>
      </c>
      <c r="N41" s="62" t="s">
        <v>885</v>
      </c>
      <c r="O41" s="30">
        <f t="shared" si="0"/>
        <v>50.795947901591894</v>
      </c>
      <c r="P41" s="30">
        <v>41.777134587554265</v>
      </c>
      <c r="Q41" s="30">
        <f t="shared" si="1"/>
        <v>9.0188133140376294</v>
      </c>
      <c r="R41" s="30">
        <f t="shared" si="2"/>
        <v>81.338993593462405</v>
      </c>
    </row>
    <row r="42" spans="1:18" ht="45" x14ac:dyDescent="0.25">
      <c r="A42" s="4">
        <v>38</v>
      </c>
      <c r="B42" s="33" t="s">
        <v>886</v>
      </c>
      <c r="C42" s="4">
        <v>500802284</v>
      </c>
      <c r="D42" s="34" t="s">
        <v>887</v>
      </c>
      <c r="E42" s="35" t="s">
        <v>39</v>
      </c>
      <c r="F42" s="61">
        <f>(56+54+55+55+57+53+55+32+29+29+29+29)/600*100</f>
        <v>88.833333333333329</v>
      </c>
      <c r="G42" s="4" t="s">
        <v>328</v>
      </c>
      <c r="H42" s="4" t="s">
        <v>888</v>
      </c>
      <c r="I42" s="4">
        <v>121348</v>
      </c>
      <c r="J42" s="4">
        <v>351</v>
      </c>
      <c r="K42" s="4">
        <v>90.43</v>
      </c>
      <c r="L42" s="4" t="s">
        <v>866</v>
      </c>
      <c r="M42" s="4" t="s">
        <v>328</v>
      </c>
      <c r="N42" s="62" t="s">
        <v>889</v>
      </c>
      <c r="O42" s="30">
        <f t="shared" si="0"/>
        <v>50.795947901591894</v>
      </c>
      <c r="P42" s="30">
        <v>41.777134587554265</v>
      </c>
      <c r="Q42" s="30">
        <f t="shared" si="1"/>
        <v>9.0188133140376294</v>
      </c>
      <c r="R42" s="30">
        <f t="shared" si="2"/>
        <v>81.338993593462405</v>
      </c>
    </row>
    <row r="43" spans="1:18" ht="31.5" x14ac:dyDescent="0.25">
      <c r="A43" s="4">
        <v>39</v>
      </c>
      <c r="B43" s="33" t="s">
        <v>890</v>
      </c>
      <c r="C43" s="4">
        <v>500804225</v>
      </c>
      <c r="D43" s="34" t="s">
        <v>891</v>
      </c>
      <c r="E43" s="35" t="s">
        <v>39</v>
      </c>
      <c r="F43" s="61">
        <f>(59+57+58+60+59+50+53+48+30+30+29+30)/600*100</f>
        <v>93.833333333333329</v>
      </c>
      <c r="G43" s="4" t="s">
        <v>328</v>
      </c>
      <c r="H43" s="4" t="s">
        <v>892</v>
      </c>
      <c r="I43" s="4">
        <v>121840</v>
      </c>
      <c r="J43" s="4">
        <v>350</v>
      </c>
      <c r="K43" s="4">
        <v>90.34</v>
      </c>
      <c r="L43" s="4" t="s">
        <v>866</v>
      </c>
      <c r="M43" s="4" t="s">
        <v>328</v>
      </c>
      <c r="N43" s="62">
        <v>7075223114</v>
      </c>
      <c r="O43" s="30">
        <f t="shared" si="0"/>
        <v>50.65123010130246</v>
      </c>
      <c r="P43" s="30">
        <v>41.777134587554265</v>
      </c>
      <c r="Q43" s="30">
        <f t="shared" si="1"/>
        <v>8.8740955137481947</v>
      </c>
      <c r="R43" s="30">
        <f t="shared" si="2"/>
        <v>78.749571187125838</v>
      </c>
    </row>
    <row r="44" spans="1:18" ht="31.5" x14ac:dyDescent="0.25">
      <c r="A44" s="4">
        <v>40</v>
      </c>
      <c r="B44" s="33" t="s">
        <v>893</v>
      </c>
      <c r="C44" s="4">
        <v>500908048</v>
      </c>
      <c r="D44" s="34" t="s">
        <v>894</v>
      </c>
      <c r="E44" s="35" t="s">
        <v>37</v>
      </c>
      <c r="F44" s="64">
        <f>(57+46+54+60+58+57+29+30+29+60+51+30)/600*100</f>
        <v>93.5</v>
      </c>
      <c r="G44" s="4" t="s">
        <v>328</v>
      </c>
      <c r="H44" s="4" t="s">
        <v>895</v>
      </c>
      <c r="I44" s="4">
        <v>125818</v>
      </c>
      <c r="J44" s="4">
        <v>346</v>
      </c>
      <c r="K44" s="35">
        <v>90.01</v>
      </c>
      <c r="L44" s="35" t="s">
        <v>758</v>
      </c>
      <c r="M44" s="4" t="s">
        <v>328</v>
      </c>
      <c r="N44" s="63" t="s">
        <v>896</v>
      </c>
      <c r="O44" s="30">
        <f t="shared" si="0"/>
        <v>50.072358900144721</v>
      </c>
      <c r="P44" s="30">
        <v>41.777134587554265</v>
      </c>
      <c r="Q44" s="30">
        <f t="shared" si="1"/>
        <v>8.2952243125904559</v>
      </c>
      <c r="R44" s="30">
        <f t="shared" si="2"/>
        <v>68.810746396191803</v>
      </c>
    </row>
    <row r="45" spans="1:18" ht="45" x14ac:dyDescent="0.25">
      <c r="A45" s="4">
        <v>41</v>
      </c>
      <c r="B45" s="33" t="s">
        <v>897</v>
      </c>
      <c r="C45" s="4">
        <v>500804020</v>
      </c>
      <c r="D45" s="34" t="s">
        <v>898</v>
      </c>
      <c r="E45" s="4" t="s">
        <v>50</v>
      </c>
      <c r="F45" s="61">
        <f>(60+58+59+58+60+60+60+59+30+90)/600*100</f>
        <v>99</v>
      </c>
      <c r="G45" s="4" t="s">
        <v>328</v>
      </c>
      <c r="H45" s="4" t="s">
        <v>899</v>
      </c>
      <c r="I45" s="4">
        <v>127091</v>
      </c>
      <c r="J45" s="4">
        <v>345</v>
      </c>
      <c r="K45" s="4">
        <v>89.92</v>
      </c>
      <c r="L45" s="35" t="s">
        <v>753</v>
      </c>
      <c r="M45" s="4" t="s">
        <v>328</v>
      </c>
      <c r="N45" s="62" t="s">
        <v>900</v>
      </c>
      <c r="O45" s="30">
        <f t="shared" si="0"/>
        <v>49.927641099855279</v>
      </c>
      <c r="P45" s="30">
        <v>41.777134587554265</v>
      </c>
      <c r="Q45" s="30">
        <f t="shared" si="1"/>
        <v>8.1505065123010141</v>
      </c>
      <c r="R45" s="30">
        <f t="shared" si="2"/>
        <v>66.430756407061239</v>
      </c>
    </row>
    <row r="46" spans="1:18" ht="45" x14ac:dyDescent="0.25">
      <c r="A46" s="4">
        <v>42</v>
      </c>
      <c r="B46" s="33" t="s">
        <v>901</v>
      </c>
      <c r="C46" s="4">
        <v>500904369</v>
      </c>
      <c r="D46" s="34" t="s">
        <v>902</v>
      </c>
      <c r="E46" s="4" t="s">
        <v>50</v>
      </c>
      <c r="F46" s="61">
        <f>(56+59+53+56+60+57+56+56+30+29+29+29)/600*100</f>
        <v>95</v>
      </c>
      <c r="G46" s="4" t="s">
        <v>328</v>
      </c>
      <c r="H46" s="4" t="s">
        <v>98</v>
      </c>
      <c r="I46" s="4">
        <v>131296</v>
      </c>
      <c r="J46" s="4">
        <v>341</v>
      </c>
      <c r="K46" s="4">
        <v>89.59</v>
      </c>
      <c r="L46" s="4" t="s">
        <v>808</v>
      </c>
      <c r="M46" s="4" t="s">
        <v>328</v>
      </c>
      <c r="N46" s="62" t="s">
        <v>903</v>
      </c>
      <c r="O46" s="30">
        <f t="shared" si="0"/>
        <v>49.34876989869754</v>
      </c>
      <c r="P46" s="30">
        <v>41.777134587554265</v>
      </c>
      <c r="Q46" s="30">
        <f t="shared" si="1"/>
        <v>7.5716353111432753</v>
      </c>
      <c r="R46" s="30">
        <f t="shared" si="2"/>
        <v>57.329661284951726</v>
      </c>
    </row>
    <row r="47" spans="1:18" ht="30" x14ac:dyDescent="0.25">
      <c r="A47" s="4">
        <v>43</v>
      </c>
      <c r="B47" s="33" t="s">
        <v>904</v>
      </c>
      <c r="C47" s="4">
        <v>500800806</v>
      </c>
      <c r="D47" s="34" t="s">
        <v>905</v>
      </c>
      <c r="E47" s="4" t="s">
        <v>37</v>
      </c>
      <c r="F47" s="61">
        <f>(59+44+54+45+58+60+30+29+30+60+60+30)/600*100</f>
        <v>93.166666666666657</v>
      </c>
      <c r="G47" s="4" t="s">
        <v>328</v>
      </c>
      <c r="H47" s="4" t="s">
        <v>906</v>
      </c>
      <c r="I47" s="4">
        <v>134335</v>
      </c>
      <c r="J47" s="4">
        <v>338</v>
      </c>
      <c r="K47" s="4">
        <v>89.33</v>
      </c>
      <c r="L47" s="4" t="s">
        <v>753</v>
      </c>
      <c r="M47" s="4" t="s">
        <v>328</v>
      </c>
      <c r="N47" s="62" t="s">
        <v>907</v>
      </c>
      <c r="O47" s="30">
        <f t="shared" si="0"/>
        <v>48.914616497829236</v>
      </c>
      <c r="P47" s="30">
        <v>41.777134587554265</v>
      </c>
      <c r="Q47" s="30">
        <f t="shared" si="1"/>
        <v>7.1374819102749711</v>
      </c>
      <c r="R47" s="30">
        <f t="shared" si="2"/>
        <v>50.943648019502454</v>
      </c>
    </row>
    <row r="48" spans="1:18" ht="45" x14ac:dyDescent="0.25">
      <c r="A48" s="4">
        <v>44</v>
      </c>
      <c r="B48" s="36" t="s">
        <v>908</v>
      </c>
      <c r="C48" s="4">
        <v>500803604</v>
      </c>
      <c r="D48" s="34" t="s">
        <v>909</v>
      </c>
      <c r="E48" s="35" t="s">
        <v>37</v>
      </c>
      <c r="F48" s="64">
        <f>(95+68+74)/300*100</f>
        <v>79</v>
      </c>
      <c r="G48" s="4" t="s">
        <v>328</v>
      </c>
      <c r="H48" s="4" t="s">
        <v>910</v>
      </c>
      <c r="I48" s="4">
        <v>134357</v>
      </c>
      <c r="J48" s="4">
        <v>338</v>
      </c>
      <c r="K48" s="35">
        <v>89.33</v>
      </c>
      <c r="L48" s="35" t="s">
        <v>791</v>
      </c>
      <c r="M48" s="4" t="s">
        <v>328</v>
      </c>
      <c r="N48" s="62" t="s">
        <v>911</v>
      </c>
      <c r="O48" s="30">
        <f t="shared" si="0"/>
        <v>48.914616497829236</v>
      </c>
      <c r="P48" s="30">
        <v>41.777134587554265</v>
      </c>
      <c r="Q48" s="30">
        <f t="shared" si="1"/>
        <v>7.1374819102749711</v>
      </c>
      <c r="R48" s="30">
        <f t="shared" si="2"/>
        <v>50.943648019502454</v>
      </c>
    </row>
    <row r="49" spans="1:18" ht="45" x14ac:dyDescent="0.25">
      <c r="A49" s="4">
        <v>45</v>
      </c>
      <c r="B49" s="33" t="s">
        <v>912</v>
      </c>
      <c r="C49" s="4">
        <v>500800432</v>
      </c>
      <c r="D49" s="34" t="s">
        <v>913</v>
      </c>
      <c r="E49" s="35" t="s">
        <v>37</v>
      </c>
      <c r="F49" s="64">
        <f>(60+58+56+58+60+59+90+60+56+30)/600*100</f>
        <v>97.833333333333343</v>
      </c>
      <c r="G49" s="4" t="s">
        <v>328</v>
      </c>
      <c r="H49" s="4" t="s">
        <v>914</v>
      </c>
      <c r="I49" s="4">
        <v>144825</v>
      </c>
      <c r="J49" s="4">
        <v>329</v>
      </c>
      <c r="K49" s="35">
        <v>88.52</v>
      </c>
      <c r="L49" s="35" t="s">
        <v>808</v>
      </c>
      <c r="M49" s="4" t="s">
        <v>328</v>
      </c>
      <c r="N49" s="62" t="s">
        <v>915</v>
      </c>
      <c r="O49" s="30">
        <f t="shared" si="0"/>
        <v>47.61215629522431</v>
      </c>
      <c r="P49" s="30">
        <v>41.777134587554265</v>
      </c>
      <c r="Q49" s="30">
        <f t="shared" si="1"/>
        <v>5.8350217076700446</v>
      </c>
      <c r="R49" s="30">
        <f t="shared" si="2"/>
        <v>34.047478328980645</v>
      </c>
    </row>
    <row r="50" spans="1:18" ht="45" x14ac:dyDescent="0.25">
      <c r="A50" s="4">
        <v>46</v>
      </c>
      <c r="B50" s="33" t="s">
        <v>916</v>
      </c>
      <c r="C50" s="4">
        <v>500902880</v>
      </c>
      <c r="D50" s="34" t="s">
        <v>518</v>
      </c>
      <c r="E50" s="35" t="s">
        <v>37</v>
      </c>
      <c r="F50" s="61">
        <f>(55+53+51+55+57+43+55+57+30+30+30+27)/600*100</f>
        <v>90.5</v>
      </c>
      <c r="G50" s="4" t="s">
        <v>328</v>
      </c>
      <c r="H50" s="4" t="s">
        <v>917</v>
      </c>
      <c r="I50" s="4">
        <v>166724</v>
      </c>
      <c r="J50" s="4">
        <v>311</v>
      </c>
      <c r="K50" s="4">
        <v>86.79</v>
      </c>
      <c r="L50" s="4" t="s">
        <v>866</v>
      </c>
      <c r="M50" s="4" t="s">
        <v>328</v>
      </c>
      <c r="N50" s="62" t="s">
        <v>918</v>
      </c>
      <c r="O50" s="30">
        <f t="shared" si="0"/>
        <v>45.007235890014471</v>
      </c>
      <c r="P50" s="30">
        <v>41.777134587554265</v>
      </c>
      <c r="Q50" s="30">
        <f t="shared" si="1"/>
        <v>3.2301013024602057</v>
      </c>
      <c r="R50" s="30">
        <f t="shared" si="2"/>
        <v>10.433554424155117</v>
      </c>
    </row>
    <row r="51" spans="1:18" ht="63" x14ac:dyDescent="0.25">
      <c r="A51" s="4">
        <v>47</v>
      </c>
      <c r="B51" s="33" t="s">
        <v>919</v>
      </c>
      <c r="C51" s="4">
        <v>500814482</v>
      </c>
      <c r="D51" s="33" t="s">
        <v>920</v>
      </c>
      <c r="E51" s="4" t="s">
        <v>33</v>
      </c>
      <c r="F51" s="68">
        <f>(58+55+52+54+60+58+58+55+29+30+28+30)/600*100</f>
        <v>94.5</v>
      </c>
      <c r="G51" s="4" t="s">
        <v>328</v>
      </c>
      <c r="H51" s="33" t="s">
        <v>921</v>
      </c>
      <c r="I51" s="33">
        <v>188049</v>
      </c>
      <c r="J51" s="4">
        <v>295</v>
      </c>
      <c r="K51" s="4">
        <v>85.09</v>
      </c>
      <c r="L51" s="4" t="s">
        <v>922</v>
      </c>
      <c r="M51" s="4" t="s">
        <v>328</v>
      </c>
      <c r="N51" s="4" t="s">
        <v>923</v>
      </c>
      <c r="O51" s="30">
        <f t="shared" si="0"/>
        <v>42.691751085383501</v>
      </c>
      <c r="P51" s="30">
        <v>41.777134587554265</v>
      </c>
      <c r="Q51" s="30">
        <f t="shared" si="1"/>
        <v>0.91461649782923615</v>
      </c>
      <c r="R51" s="30">
        <f t="shared" si="2"/>
        <v>0.8365233381014171</v>
      </c>
    </row>
    <row r="52" spans="1:18" ht="45" x14ac:dyDescent="0.25">
      <c r="A52" s="4">
        <v>48</v>
      </c>
      <c r="B52" s="33" t="s">
        <v>924</v>
      </c>
      <c r="C52" s="4">
        <v>500900893</v>
      </c>
      <c r="D52" s="34" t="s">
        <v>925</v>
      </c>
      <c r="E52" s="35" t="s">
        <v>46</v>
      </c>
      <c r="F52" s="64">
        <f>(53+57+58+57+58+60+29+29+30+60+60+28)/600*100</f>
        <v>96.5</v>
      </c>
      <c r="G52" s="4" t="s">
        <v>328</v>
      </c>
      <c r="H52" s="4" t="s">
        <v>157</v>
      </c>
      <c r="I52" s="4">
        <v>189804</v>
      </c>
      <c r="J52" s="4">
        <v>294</v>
      </c>
      <c r="K52" s="35">
        <v>84.98</v>
      </c>
      <c r="L52" s="35" t="s">
        <v>753</v>
      </c>
      <c r="M52" s="4" t="s">
        <v>328</v>
      </c>
      <c r="N52" s="62" t="s">
        <v>926</v>
      </c>
      <c r="O52" s="30">
        <f t="shared" si="0"/>
        <v>42.547033285094066</v>
      </c>
      <c r="P52" s="30">
        <v>41.777134587554265</v>
      </c>
      <c r="Q52" s="30">
        <f t="shared" si="1"/>
        <v>0.76989869753980145</v>
      </c>
      <c r="R52" s="30">
        <f t="shared" si="2"/>
        <v>0.59274400447348263</v>
      </c>
    </row>
    <row r="53" spans="1:18" ht="45" x14ac:dyDescent="0.25">
      <c r="A53" s="4">
        <v>49</v>
      </c>
      <c r="B53" s="36" t="s">
        <v>927</v>
      </c>
      <c r="C53" s="4">
        <v>500803550</v>
      </c>
      <c r="D53" s="34" t="s">
        <v>928</v>
      </c>
      <c r="E53" s="35" t="s">
        <v>46</v>
      </c>
      <c r="F53" s="64">
        <f>(50+52+53+51+57+60+30+60+50+29+29+28)/600*100</f>
        <v>91.5</v>
      </c>
      <c r="G53" s="4" t="s">
        <v>328</v>
      </c>
      <c r="H53" s="4" t="s">
        <v>929</v>
      </c>
      <c r="I53" s="4">
        <v>199019</v>
      </c>
      <c r="J53" s="4">
        <v>287</v>
      </c>
      <c r="K53" s="35">
        <v>84</v>
      </c>
      <c r="L53" s="35" t="s">
        <v>808</v>
      </c>
      <c r="M53" s="4" t="s">
        <v>328</v>
      </c>
      <c r="N53" s="62" t="s">
        <v>930</v>
      </c>
      <c r="O53" s="30">
        <f t="shared" si="0"/>
        <v>41.534008683068016</v>
      </c>
      <c r="P53" s="30">
        <v>41.777134587554265</v>
      </c>
      <c r="Q53" s="30">
        <f t="shared" si="1"/>
        <v>-0.2431259044862486</v>
      </c>
      <c r="R53" s="30">
        <f t="shared" si="2"/>
        <v>5.911020543225648E-2</v>
      </c>
    </row>
    <row r="54" spans="1:18" ht="31.5" x14ac:dyDescent="0.25">
      <c r="A54" s="4">
        <v>50</v>
      </c>
      <c r="B54" s="33" t="s">
        <v>931</v>
      </c>
      <c r="C54" s="4">
        <v>500910261</v>
      </c>
      <c r="D54" s="33" t="s">
        <v>932</v>
      </c>
      <c r="E54" s="4" t="s">
        <v>33</v>
      </c>
      <c r="F54" s="68">
        <f>(57+58+54+60+55+52+57+58+30+90)/600*100</f>
        <v>95.166666666666671</v>
      </c>
      <c r="G54" s="4" t="s">
        <v>328</v>
      </c>
      <c r="H54" s="4" t="s">
        <v>933</v>
      </c>
      <c r="I54" s="4">
        <v>209700</v>
      </c>
      <c r="J54" s="4">
        <v>280</v>
      </c>
      <c r="K54" s="4">
        <v>83.38</v>
      </c>
      <c r="L54" s="4" t="s">
        <v>922</v>
      </c>
      <c r="M54" s="4" t="s">
        <v>328</v>
      </c>
      <c r="N54" s="4">
        <v>9849287289</v>
      </c>
      <c r="O54" s="30">
        <f t="shared" si="0"/>
        <v>40.520984081041966</v>
      </c>
      <c r="P54" s="30">
        <v>41.777134587554265</v>
      </c>
      <c r="Q54" s="30">
        <f t="shared" si="1"/>
        <v>-1.2561505065122986</v>
      </c>
      <c r="R54" s="30">
        <f t="shared" si="2"/>
        <v>1.5779140950111044</v>
      </c>
    </row>
    <row r="55" spans="1:18" ht="45" x14ac:dyDescent="0.25">
      <c r="A55" s="4">
        <v>51</v>
      </c>
      <c r="B55" s="33" t="s">
        <v>934</v>
      </c>
      <c r="C55" s="4">
        <v>500814546</v>
      </c>
      <c r="D55" s="34" t="s">
        <v>935</v>
      </c>
      <c r="E55" s="35" t="s">
        <v>46</v>
      </c>
      <c r="F55" s="64">
        <f>(43+45+39+45+60+43+29+29+29+47+46+29)/600*100</f>
        <v>80.666666666666657</v>
      </c>
      <c r="G55" s="4" t="s">
        <v>328</v>
      </c>
      <c r="H55" s="4" t="s">
        <v>936</v>
      </c>
      <c r="I55" s="4">
        <v>210165</v>
      </c>
      <c r="J55" s="4">
        <v>280</v>
      </c>
      <c r="K55" s="35">
        <v>83.38</v>
      </c>
      <c r="L55" s="35" t="s">
        <v>808</v>
      </c>
      <c r="M55" s="4" t="s">
        <v>328</v>
      </c>
      <c r="N55" s="62" t="s">
        <v>937</v>
      </c>
      <c r="O55" s="30">
        <f t="shared" si="0"/>
        <v>40.520984081041966</v>
      </c>
      <c r="P55" s="30">
        <v>41.777134587554265</v>
      </c>
      <c r="Q55" s="30">
        <f t="shared" si="1"/>
        <v>-1.2561505065122986</v>
      </c>
      <c r="R55" s="30">
        <f t="shared" si="2"/>
        <v>1.5779140950111044</v>
      </c>
    </row>
    <row r="56" spans="1:18" ht="31.5" x14ac:dyDescent="0.25">
      <c r="A56" s="4">
        <v>52</v>
      </c>
      <c r="B56" s="33" t="s">
        <v>938</v>
      </c>
      <c r="C56" s="4">
        <v>500811219</v>
      </c>
      <c r="D56" s="33" t="s">
        <v>939</v>
      </c>
      <c r="E56" s="4" t="s">
        <v>50</v>
      </c>
      <c r="F56" s="68">
        <f>(57+60+53+60+60+60+60+60+30+90)/600*100</f>
        <v>98.333333333333329</v>
      </c>
      <c r="G56" s="4" t="s">
        <v>328</v>
      </c>
      <c r="H56" s="33" t="s">
        <v>940</v>
      </c>
      <c r="I56" s="33">
        <v>211841</v>
      </c>
      <c r="J56" s="4">
        <v>279</v>
      </c>
      <c r="K56" s="4">
        <v>83.27</v>
      </c>
      <c r="L56" s="4" t="s">
        <v>820</v>
      </c>
      <c r="M56" s="4" t="s">
        <v>328</v>
      </c>
      <c r="N56" s="4" t="s">
        <v>941</v>
      </c>
      <c r="O56" s="30">
        <f t="shared" si="0"/>
        <v>40.376266280752532</v>
      </c>
      <c r="P56" s="30">
        <v>41.777134587554265</v>
      </c>
      <c r="Q56" s="30">
        <f t="shared" si="1"/>
        <v>-1.4008683068017334</v>
      </c>
      <c r="R56" s="30">
        <f t="shared" si="2"/>
        <v>1.9624320130015553</v>
      </c>
    </row>
    <row r="57" spans="1:18" ht="31.5" x14ac:dyDescent="0.25">
      <c r="A57" s="4">
        <v>53</v>
      </c>
      <c r="B57" s="33" t="s">
        <v>942</v>
      </c>
      <c r="C57" s="4">
        <v>500905249</v>
      </c>
      <c r="D57" s="33" t="s">
        <v>943</v>
      </c>
      <c r="E57" s="4" t="s">
        <v>43</v>
      </c>
      <c r="F57" s="68">
        <f>(59+49+56+52+60+56+58+60+30+90)/600*100</f>
        <v>95</v>
      </c>
      <c r="G57" s="4" t="s">
        <v>328</v>
      </c>
      <c r="H57" s="4" t="s">
        <v>944</v>
      </c>
      <c r="I57" s="4">
        <v>212799</v>
      </c>
      <c r="J57" s="4">
        <v>278</v>
      </c>
      <c r="K57" s="4">
        <v>83.15</v>
      </c>
      <c r="L57" s="4" t="s">
        <v>922</v>
      </c>
      <c r="M57" s="4" t="s">
        <v>328</v>
      </c>
      <c r="N57" s="4" t="s">
        <v>945</v>
      </c>
      <c r="O57" s="30">
        <f t="shared" si="0"/>
        <v>40.231548480463097</v>
      </c>
      <c r="P57" s="30">
        <v>41.777134587554265</v>
      </c>
      <c r="Q57" s="30">
        <f t="shared" si="1"/>
        <v>-1.5455861070911681</v>
      </c>
      <c r="R57" s="30">
        <f t="shared" si="2"/>
        <v>2.3888364144332317</v>
      </c>
    </row>
    <row r="58" spans="1:18" ht="30" x14ac:dyDescent="0.25">
      <c r="A58" s="4">
        <v>54</v>
      </c>
      <c r="B58" s="70" t="s">
        <v>946</v>
      </c>
      <c r="C58" s="69">
        <v>500811200</v>
      </c>
      <c r="D58" s="33" t="s">
        <v>947</v>
      </c>
      <c r="E58" s="71" t="s">
        <v>61</v>
      </c>
      <c r="F58" s="73">
        <f>(56+59+59+55+57+56+57+58+30+30+25+13+17)/600*100</f>
        <v>95.333333333333343</v>
      </c>
      <c r="G58" s="4" t="s">
        <v>328</v>
      </c>
      <c r="H58" s="33" t="s">
        <v>948</v>
      </c>
      <c r="I58" s="33">
        <v>214648</v>
      </c>
      <c r="J58" s="33">
        <v>277</v>
      </c>
      <c r="K58" s="4">
        <v>83.04</v>
      </c>
      <c r="L58" s="4" t="s">
        <v>949</v>
      </c>
      <c r="M58" s="4" t="s">
        <v>328</v>
      </c>
      <c r="N58" s="62" t="s">
        <v>950</v>
      </c>
      <c r="O58" s="30">
        <f t="shared" si="0"/>
        <v>40.086830680173662</v>
      </c>
      <c r="P58" s="30">
        <v>41.777134587554265</v>
      </c>
      <c r="Q58" s="30">
        <f t="shared" si="1"/>
        <v>-1.6903039073806028</v>
      </c>
      <c r="R58" s="30">
        <f t="shared" si="2"/>
        <v>2.8571272993061334</v>
      </c>
    </row>
    <row r="59" spans="1:18" ht="47.25" x14ac:dyDescent="0.25">
      <c r="A59" s="4">
        <v>55</v>
      </c>
      <c r="B59" s="36" t="s">
        <v>951</v>
      </c>
      <c r="C59" s="4">
        <v>500902729</v>
      </c>
      <c r="D59" s="33" t="s">
        <v>952</v>
      </c>
      <c r="E59" s="4" t="s">
        <v>33</v>
      </c>
      <c r="F59" s="68">
        <f>(58+60+53+51+60+60+57+59+30+29+30+30)/600*100</f>
        <v>96.166666666666671</v>
      </c>
      <c r="G59" s="4" t="s">
        <v>328</v>
      </c>
      <c r="H59" s="33" t="s">
        <v>953</v>
      </c>
      <c r="I59" s="33">
        <v>238338</v>
      </c>
      <c r="J59" s="4">
        <v>262</v>
      </c>
      <c r="K59" s="4">
        <v>81.17</v>
      </c>
      <c r="L59" s="4" t="s">
        <v>922</v>
      </c>
      <c r="M59" s="4" t="s">
        <v>328</v>
      </c>
      <c r="N59" s="4" t="s">
        <v>954</v>
      </c>
      <c r="O59" s="30">
        <f t="shared" si="0"/>
        <v>37.916063675832127</v>
      </c>
      <c r="P59" s="30">
        <v>41.777134587554265</v>
      </c>
      <c r="Q59" s="30">
        <f t="shared" si="1"/>
        <v>-3.8610709117221376</v>
      </c>
      <c r="R59" s="30">
        <f t="shared" si="2"/>
        <v>14.907868585346819</v>
      </c>
    </row>
    <row r="60" spans="1:18" ht="31.5" x14ac:dyDescent="0.25">
      <c r="A60" s="4">
        <v>56</v>
      </c>
      <c r="B60" s="33" t="s">
        <v>955</v>
      </c>
      <c r="C60" s="4">
        <v>512514790</v>
      </c>
      <c r="D60" s="33" t="s">
        <v>956</v>
      </c>
      <c r="E60" s="4" t="s">
        <v>33</v>
      </c>
      <c r="F60" s="68">
        <f>(52+46+51+57+57+50+43+54+30+30+29+30)/600*100</f>
        <v>88.166666666666671</v>
      </c>
      <c r="G60" s="4" t="s">
        <v>328</v>
      </c>
      <c r="H60" s="33" t="s">
        <v>957</v>
      </c>
      <c r="I60" s="33">
        <v>246465</v>
      </c>
      <c r="J60" s="4">
        <v>257</v>
      </c>
      <c r="K60" s="4">
        <v>80.510000000000005</v>
      </c>
      <c r="L60" s="4" t="s">
        <v>958</v>
      </c>
      <c r="M60" s="4" t="s">
        <v>328</v>
      </c>
      <c r="N60" s="4" t="s">
        <v>959</v>
      </c>
      <c r="O60" s="30">
        <f t="shared" si="0"/>
        <v>37.192474674384947</v>
      </c>
      <c r="P60" s="30">
        <v>41.777134587554265</v>
      </c>
      <c r="Q60" s="30">
        <f t="shared" si="1"/>
        <v>-4.5846599131693182</v>
      </c>
      <c r="R60" s="30">
        <f t="shared" si="2"/>
        <v>21.019106519421701</v>
      </c>
    </row>
    <row r="61" spans="1:18" ht="47.25" x14ac:dyDescent="0.25">
      <c r="A61" s="4">
        <v>57</v>
      </c>
      <c r="B61" s="33" t="s">
        <v>960</v>
      </c>
      <c r="C61" s="4">
        <v>500201462</v>
      </c>
      <c r="D61" s="33" t="s">
        <v>961</v>
      </c>
      <c r="E61" s="4" t="s">
        <v>37</v>
      </c>
      <c r="F61" s="68">
        <f>(58+58+60+57+60+58+60+60+30+26+27+30)/600*100</f>
        <v>97.333333333333343</v>
      </c>
      <c r="G61" s="4" t="s">
        <v>328</v>
      </c>
      <c r="H61" s="33" t="s">
        <v>962</v>
      </c>
      <c r="I61" s="33">
        <v>251111</v>
      </c>
      <c r="J61" s="4">
        <v>254</v>
      </c>
      <c r="K61" s="4">
        <v>80</v>
      </c>
      <c r="L61" s="4" t="s">
        <v>958</v>
      </c>
      <c r="M61" s="4" t="s">
        <v>328</v>
      </c>
      <c r="N61" s="4" t="s">
        <v>963</v>
      </c>
      <c r="O61" s="30">
        <f t="shared" si="0"/>
        <v>36.758321273516643</v>
      </c>
      <c r="P61" s="30">
        <v>41.777134587554265</v>
      </c>
      <c r="Q61" s="30">
        <f t="shared" si="1"/>
        <v>-5.0188133140376223</v>
      </c>
      <c r="R61" s="30">
        <f t="shared" si="2"/>
        <v>25.188487081161302</v>
      </c>
    </row>
    <row r="62" spans="1:18" ht="31.5" x14ac:dyDescent="0.25">
      <c r="A62" s="4">
        <v>58</v>
      </c>
      <c r="B62" s="33" t="s">
        <v>964</v>
      </c>
      <c r="C62" s="4">
        <v>500803185</v>
      </c>
      <c r="D62" s="33" t="s">
        <v>965</v>
      </c>
      <c r="E62" s="4" t="s">
        <v>33</v>
      </c>
      <c r="F62" s="68">
        <f>(60+57+56+59+60+59+60+60+30+30+30+23)/600*100</f>
        <v>97.333333333333343</v>
      </c>
      <c r="G62" s="4" t="s">
        <v>328</v>
      </c>
      <c r="H62" s="33" t="s">
        <v>966</v>
      </c>
      <c r="I62" s="33">
        <v>251216</v>
      </c>
      <c r="J62" s="4">
        <v>254</v>
      </c>
      <c r="K62" s="4">
        <v>80.09</v>
      </c>
      <c r="L62" s="4" t="s">
        <v>922</v>
      </c>
      <c r="M62" s="4" t="s">
        <v>328</v>
      </c>
      <c r="N62" s="4" t="s">
        <v>967</v>
      </c>
      <c r="O62" s="30">
        <f t="shared" si="0"/>
        <v>36.758321273516643</v>
      </c>
      <c r="P62" s="30">
        <v>41.777134587554265</v>
      </c>
      <c r="Q62" s="30">
        <f t="shared" si="1"/>
        <v>-5.0188133140376223</v>
      </c>
      <c r="R62" s="30">
        <f t="shared" si="2"/>
        <v>25.188487081161302</v>
      </c>
    </row>
    <row r="63" spans="1:18" ht="30" x14ac:dyDescent="0.25">
      <c r="A63" s="4">
        <v>59</v>
      </c>
      <c r="B63" s="70" t="s">
        <v>968</v>
      </c>
      <c r="C63" s="69">
        <v>500802738</v>
      </c>
      <c r="D63" s="33" t="s">
        <v>969</v>
      </c>
      <c r="E63" s="69" t="s">
        <v>382</v>
      </c>
      <c r="F63" s="68">
        <f>(60+60+57+44+56+51+57+56+120)/600*100</f>
        <v>93.5</v>
      </c>
      <c r="G63" s="4" t="s">
        <v>328</v>
      </c>
      <c r="H63" s="33" t="s">
        <v>970</v>
      </c>
      <c r="I63" s="33">
        <v>269560</v>
      </c>
      <c r="J63" s="33">
        <v>244</v>
      </c>
      <c r="K63" s="69">
        <v>78.7</v>
      </c>
      <c r="L63" s="4" t="s">
        <v>949</v>
      </c>
      <c r="M63" s="4" t="s">
        <v>328</v>
      </c>
      <c r="N63" s="87">
        <v>9866737391</v>
      </c>
      <c r="O63" s="30">
        <f t="shared" si="0"/>
        <v>35.311143270622289</v>
      </c>
      <c r="P63" s="30">
        <v>41.777134587554265</v>
      </c>
      <c r="Q63" s="30">
        <f t="shared" si="1"/>
        <v>-6.4659913169319765</v>
      </c>
      <c r="R63" s="30">
        <f t="shared" si="2"/>
        <v>41.809043710639713</v>
      </c>
    </row>
    <row r="64" spans="1:18" ht="31.5" x14ac:dyDescent="0.25">
      <c r="A64" s="4">
        <v>60</v>
      </c>
      <c r="B64" s="33" t="s">
        <v>971</v>
      </c>
      <c r="C64" s="4">
        <v>500817274</v>
      </c>
      <c r="D64" s="33" t="s">
        <v>972</v>
      </c>
      <c r="E64" s="4" t="s">
        <v>37</v>
      </c>
      <c r="F64" s="68">
        <f>(52+56+54+43+60+60+60+57+30+28+30+29)/600*100</f>
        <v>93.166666666666657</v>
      </c>
      <c r="G64" s="4" t="s">
        <v>328</v>
      </c>
      <c r="H64" s="33" t="s">
        <v>973</v>
      </c>
      <c r="I64" s="33">
        <v>275974</v>
      </c>
      <c r="J64" s="4">
        <v>240</v>
      </c>
      <c r="K64" s="4">
        <v>78.12</v>
      </c>
      <c r="L64" s="4" t="s">
        <v>958</v>
      </c>
      <c r="M64" s="4" t="s">
        <v>328</v>
      </c>
      <c r="N64" s="4" t="s">
        <v>974</v>
      </c>
      <c r="O64" s="30">
        <f t="shared" si="0"/>
        <v>34.732272069464543</v>
      </c>
      <c r="P64" s="30">
        <v>41.777134587554265</v>
      </c>
      <c r="Q64" s="30">
        <f t="shared" si="1"/>
        <v>-7.0448625180897224</v>
      </c>
      <c r="R64" s="30">
        <f t="shared" si="2"/>
        <v>49.630087898785462</v>
      </c>
    </row>
    <row r="65" spans="1:18" ht="31.5" x14ac:dyDescent="0.25">
      <c r="A65" s="4">
        <v>61</v>
      </c>
      <c r="B65" s="36" t="s">
        <v>975</v>
      </c>
      <c r="C65" s="4">
        <v>500902709</v>
      </c>
      <c r="D65" s="33" t="s">
        <v>976</v>
      </c>
      <c r="E65" s="4" t="s">
        <v>37</v>
      </c>
      <c r="F65" s="68">
        <f>(60+60+60+59+60+54+60+57+26+28+26+30)/600*100</f>
        <v>96.666666666666671</v>
      </c>
      <c r="G65" s="4" t="s">
        <v>328</v>
      </c>
      <c r="H65" s="33" t="s">
        <v>977</v>
      </c>
      <c r="I65" s="33">
        <v>279762</v>
      </c>
      <c r="J65" s="4">
        <v>238</v>
      </c>
      <c r="K65" s="4">
        <v>77.84</v>
      </c>
      <c r="L65" s="4" t="s">
        <v>958</v>
      </c>
      <c r="M65" s="4" t="s">
        <v>328</v>
      </c>
      <c r="N65" s="4" t="s">
        <v>978</v>
      </c>
      <c r="O65" s="30">
        <f t="shared" si="0"/>
        <v>34.442836468885673</v>
      </c>
      <c r="P65" s="30">
        <v>41.777134587554265</v>
      </c>
      <c r="Q65" s="30">
        <f t="shared" si="1"/>
        <v>-7.3342981186685918</v>
      </c>
      <c r="R65" s="30">
        <f t="shared" si="2"/>
        <v>53.791928893505649</v>
      </c>
    </row>
    <row r="66" spans="1:18" ht="31.5" x14ac:dyDescent="0.25">
      <c r="A66" s="4">
        <v>62</v>
      </c>
      <c r="B66" s="33" t="s">
        <v>979</v>
      </c>
      <c r="C66" s="4">
        <v>500204183</v>
      </c>
      <c r="D66" s="33" t="s">
        <v>980</v>
      </c>
      <c r="E66" s="4" t="s">
        <v>33</v>
      </c>
      <c r="F66" s="68">
        <f>(60+59+55+51+60+58+60+60+30+90)/600*100</f>
        <v>97.166666666666671</v>
      </c>
      <c r="G66" s="4" t="s">
        <v>328</v>
      </c>
      <c r="H66" s="4" t="s">
        <v>535</v>
      </c>
      <c r="I66" s="4">
        <v>291179</v>
      </c>
      <c r="J66" s="4">
        <v>232</v>
      </c>
      <c r="K66" s="4">
        <v>76.95</v>
      </c>
      <c r="L66" s="4" t="s">
        <v>922</v>
      </c>
      <c r="M66" s="4" t="s">
        <v>328</v>
      </c>
      <c r="N66" s="4" t="s">
        <v>981</v>
      </c>
      <c r="O66" s="30">
        <f t="shared" si="0"/>
        <v>33.574529667149058</v>
      </c>
      <c r="P66" s="30">
        <v>41.777134587554265</v>
      </c>
      <c r="Q66" s="30">
        <f t="shared" si="1"/>
        <v>-8.2026049204052072</v>
      </c>
      <c r="R66" s="30">
        <f t="shared" si="2"/>
        <v>67.282727480255716</v>
      </c>
    </row>
    <row r="67" spans="1:18" ht="47.25" x14ac:dyDescent="0.25">
      <c r="A67" s="4">
        <v>63</v>
      </c>
      <c r="B67" s="36" t="s">
        <v>982</v>
      </c>
      <c r="C67" s="4">
        <v>500814975</v>
      </c>
      <c r="D67" s="33" t="s">
        <v>983</v>
      </c>
      <c r="E67" s="4" t="s">
        <v>37</v>
      </c>
      <c r="F67" s="68">
        <f>(60+55+58+58+58+60+53+53+25+25+28+18)/600*100</f>
        <v>91.833333333333329</v>
      </c>
      <c r="G67" s="4" t="s">
        <v>328</v>
      </c>
      <c r="H67" s="33" t="s">
        <v>984</v>
      </c>
      <c r="I67" s="33">
        <v>293146</v>
      </c>
      <c r="J67" s="4">
        <v>231</v>
      </c>
      <c r="K67" s="4">
        <v>76.8</v>
      </c>
      <c r="L67" s="4" t="s">
        <v>922</v>
      </c>
      <c r="M67" s="4" t="s">
        <v>328</v>
      </c>
      <c r="N67" s="4" t="s">
        <v>985</v>
      </c>
      <c r="O67" s="30">
        <f t="shared" si="0"/>
        <v>33.429811866859623</v>
      </c>
      <c r="P67" s="30">
        <v>41.777134587554265</v>
      </c>
      <c r="Q67" s="30">
        <f t="shared" si="1"/>
        <v>-8.3473227206946419</v>
      </c>
      <c r="R67" s="30">
        <f t="shared" si="2"/>
        <v>69.677796603424994</v>
      </c>
    </row>
    <row r="68" spans="1:18" ht="47.25" x14ac:dyDescent="0.25">
      <c r="A68" s="4">
        <v>64</v>
      </c>
      <c r="B68" s="33" t="s">
        <v>986</v>
      </c>
      <c r="C68" s="4">
        <v>500909318</v>
      </c>
      <c r="D68" s="33" t="s">
        <v>987</v>
      </c>
      <c r="E68" s="4" t="s">
        <v>33</v>
      </c>
      <c r="F68" s="68">
        <f>(56+60+52+56+60+60+60+60+30+28+30+29)/600*100</f>
        <v>96.833333333333343</v>
      </c>
      <c r="G68" s="4" t="s">
        <v>328</v>
      </c>
      <c r="H68" s="33" t="s">
        <v>988</v>
      </c>
      <c r="I68" s="33">
        <v>296853</v>
      </c>
      <c r="J68" s="4">
        <v>229</v>
      </c>
      <c r="K68" s="4">
        <v>76.48</v>
      </c>
      <c r="L68" s="4" t="s">
        <v>958</v>
      </c>
      <c r="M68" s="4" t="s">
        <v>328</v>
      </c>
      <c r="N68" s="4" t="s">
        <v>989</v>
      </c>
      <c r="O68" s="30">
        <f t="shared" si="0"/>
        <v>33.140376266280754</v>
      </c>
      <c r="P68" s="30">
        <v>41.777134587554265</v>
      </c>
      <c r="Q68" s="30">
        <f t="shared" si="1"/>
        <v>-8.6367583212735113</v>
      </c>
      <c r="R68" s="30">
        <f t="shared" si="2"/>
        <v>74.593594300087247</v>
      </c>
    </row>
    <row r="69" spans="1:18" ht="31.5" x14ac:dyDescent="0.25">
      <c r="A69" s="4">
        <v>65</v>
      </c>
      <c r="B69" s="33" t="s">
        <v>990</v>
      </c>
      <c r="C69" s="4">
        <v>500904240</v>
      </c>
      <c r="D69" s="33" t="s">
        <v>991</v>
      </c>
      <c r="E69" s="4" t="s">
        <v>33</v>
      </c>
      <c r="F69" s="68">
        <f>(85+86+74)/300*100</f>
        <v>81.666666666666671</v>
      </c>
      <c r="G69" s="4" t="s">
        <v>328</v>
      </c>
      <c r="H69" s="33" t="s">
        <v>992</v>
      </c>
      <c r="I69" s="33">
        <v>307821</v>
      </c>
      <c r="J69" s="4">
        <v>224</v>
      </c>
      <c r="K69" s="4">
        <v>75.69</v>
      </c>
      <c r="L69" s="4" t="s">
        <v>958</v>
      </c>
      <c r="M69" s="4" t="s">
        <v>328</v>
      </c>
      <c r="N69" s="4" t="s">
        <v>993</v>
      </c>
      <c r="O69" s="30">
        <f t="shared" si="0"/>
        <v>32.416787264833573</v>
      </c>
      <c r="P69" s="30">
        <v>41.777134587554265</v>
      </c>
      <c r="Q69" s="30">
        <f t="shared" si="1"/>
        <v>-9.3603473227206919</v>
      </c>
      <c r="R69" s="30">
        <f t="shared" si="2"/>
        <v>87.616102001964421</v>
      </c>
    </row>
    <row r="70" spans="1:18" ht="31.5" x14ac:dyDescent="0.25">
      <c r="A70" s="4">
        <v>66</v>
      </c>
      <c r="B70" s="33" t="s">
        <v>994</v>
      </c>
      <c r="C70" s="4">
        <v>500903687</v>
      </c>
      <c r="D70" s="33" t="s">
        <v>995</v>
      </c>
      <c r="E70" s="4" t="s">
        <v>33</v>
      </c>
      <c r="F70" s="68">
        <f>(59+49+49+40+57+60+60+55+29+30+30+28)/600*100</f>
        <v>91</v>
      </c>
      <c r="G70" s="4" t="s">
        <v>328</v>
      </c>
      <c r="H70" s="33" t="s">
        <v>996</v>
      </c>
      <c r="I70" s="33">
        <v>309518</v>
      </c>
      <c r="J70" s="4">
        <v>223</v>
      </c>
      <c r="K70" s="4">
        <v>75.540000000000006</v>
      </c>
      <c r="L70" s="4" t="s">
        <v>922</v>
      </c>
      <c r="M70" s="4" t="s">
        <v>328</v>
      </c>
      <c r="N70" s="4" t="s">
        <v>997</v>
      </c>
      <c r="O70" s="30">
        <f t="shared" ref="O70:O104" si="3">J70*100/691</f>
        <v>32.272069464544138</v>
      </c>
      <c r="P70" s="30">
        <v>41.777134587554265</v>
      </c>
      <c r="Q70" s="30">
        <f t="shared" ref="Q70:Q104" si="4">O70-P70</f>
        <v>-9.5050651230101266</v>
      </c>
      <c r="R70" s="30">
        <f t="shared" ref="R70:R104" si="5">Q70*Q70</f>
        <v>90.346262992663512</v>
      </c>
    </row>
    <row r="71" spans="1:18" ht="18" customHeight="1" x14ac:dyDescent="0.25">
      <c r="A71" s="4">
        <v>67</v>
      </c>
      <c r="B71" s="33" t="s">
        <v>998</v>
      </c>
      <c r="C71" s="4">
        <v>500813760</v>
      </c>
      <c r="D71" s="33" t="s">
        <v>999</v>
      </c>
      <c r="E71" s="4" t="s">
        <v>33</v>
      </c>
      <c r="F71" s="68">
        <f>(60+59+56+52+58+60+56+52+30+30+30+30)/600*100</f>
        <v>95.5</v>
      </c>
      <c r="G71" s="4" t="s">
        <v>328</v>
      </c>
      <c r="H71" s="33" t="s">
        <v>1000</v>
      </c>
      <c r="I71" s="33">
        <v>325582</v>
      </c>
      <c r="J71" s="4">
        <v>215</v>
      </c>
      <c r="K71" s="4">
        <v>74.2</v>
      </c>
      <c r="L71" s="4" t="s">
        <v>922</v>
      </c>
      <c r="M71" s="4" t="s">
        <v>328</v>
      </c>
      <c r="N71" s="4" t="s">
        <v>1001</v>
      </c>
      <c r="O71" s="30">
        <f t="shared" si="3"/>
        <v>31.114327062228654</v>
      </c>
      <c r="P71" s="30">
        <v>41.777134587554265</v>
      </c>
      <c r="Q71" s="30">
        <f t="shared" si="4"/>
        <v>-10.662807525325611</v>
      </c>
      <c r="R71" s="30">
        <f t="shared" si="5"/>
        <v>113.6954643221405</v>
      </c>
    </row>
    <row r="72" spans="1:18" ht="31.5" x14ac:dyDescent="0.25">
      <c r="A72" s="4">
        <v>68</v>
      </c>
      <c r="B72" s="36" t="s">
        <v>1002</v>
      </c>
      <c r="C72" s="4">
        <v>500206425</v>
      </c>
      <c r="D72" s="33" t="s">
        <v>1003</v>
      </c>
      <c r="E72" s="4" t="s">
        <v>39</v>
      </c>
      <c r="F72" s="4">
        <f>(60+60+55+40+58+60+60+60+28+26+28+18)/600*100</f>
        <v>92.166666666666657</v>
      </c>
      <c r="G72" s="4" t="s">
        <v>328</v>
      </c>
      <c r="H72" s="33" t="s">
        <v>153</v>
      </c>
      <c r="I72" s="33">
        <v>327964</v>
      </c>
      <c r="J72" s="4">
        <v>214</v>
      </c>
      <c r="K72" s="4">
        <v>74.03</v>
      </c>
      <c r="L72" s="4" t="s">
        <v>922</v>
      </c>
      <c r="M72" s="4" t="s">
        <v>328</v>
      </c>
      <c r="N72" s="4" t="s">
        <v>1004</v>
      </c>
      <c r="O72" s="30">
        <f t="shared" si="3"/>
        <v>30.969609261939219</v>
      </c>
      <c r="P72" s="30">
        <v>41.777134587554265</v>
      </c>
      <c r="Q72" s="30">
        <f t="shared" si="4"/>
        <v>-10.807525325615046</v>
      </c>
      <c r="R72" s="30">
        <f t="shared" si="5"/>
        <v>116.80260366381061</v>
      </c>
    </row>
    <row r="73" spans="1:18" ht="47.25" x14ac:dyDescent="0.25">
      <c r="A73" s="4">
        <v>69</v>
      </c>
      <c r="B73" s="33" t="s">
        <v>1005</v>
      </c>
      <c r="C73" s="4">
        <v>500905183</v>
      </c>
      <c r="D73" s="33" t="s">
        <v>1006</v>
      </c>
      <c r="E73" s="4" t="s">
        <v>41</v>
      </c>
      <c r="F73" s="68">
        <f>(60+43+52+40+57+60+59+56+29+30+25+28)/600*100</f>
        <v>89.833333333333329</v>
      </c>
      <c r="G73" s="4" t="s">
        <v>328</v>
      </c>
      <c r="H73" s="33" t="s">
        <v>177</v>
      </c>
      <c r="I73" s="33">
        <v>341373</v>
      </c>
      <c r="J73" s="4">
        <v>208</v>
      </c>
      <c r="K73" s="4">
        <v>72.98</v>
      </c>
      <c r="L73" s="4" t="s">
        <v>922</v>
      </c>
      <c r="M73" s="4" t="s">
        <v>328</v>
      </c>
      <c r="N73" s="4" t="s">
        <v>1007</v>
      </c>
      <c r="O73" s="30">
        <f t="shared" si="3"/>
        <v>30.101302460202604</v>
      </c>
      <c r="P73" s="30">
        <v>41.777134587554265</v>
      </c>
      <c r="Q73" s="30">
        <f t="shared" si="4"/>
        <v>-11.675832127351661</v>
      </c>
      <c r="R73" s="30">
        <f t="shared" si="5"/>
        <v>136.32505586609722</v>
      </c>
    </row>
    <row r="74" spans="1:18" ht="31.5" x14ac:dyDescent="0.25">
      <c r="A74" s="4">
        <v>70</v>
      </c>
      <c r="B74" s="33" t="s">
        <v>1008</v>
      </c>
      <c r="C74" s="4">
        <v>500906773</v>
      </c>
      <c r="D74" s="33" t="s">
        <v>1009</v>
      </c>
      <c r="E74" s="4" t="s">
        <v>33</v>
      </c>
      <c r="F74" s="68">
        <f>(58+54+60+51+60+54+60+55+28+25+28+28)/600*100</f>
        <v>93.5</v>
      </c>
      <c r="G74" s="4" t="s">
        <v>328</v>
      </c>
      <c r="H74" s="33" t="s">
        <v>933</v>
      </c>
      <c r="I74" s="33">
        <v>348064</v>
      </c>
      <c r="J74" s="4">
        <v>205</v>
      </c>
      <c r="K74" s="4">
        <v>72.430000000000007</v>
      </c>
      <c r="L74" s="4" t="s">
        <v>922</v>
      </c>
      <c r="M74" s="4" t="s">
        <v>328</v>
      </c>
      <c r="N74" s="4" t="s">
        <v>1010</v>
      </c>
      <c r="O74" s="30">
        <f t="shared" si="3"/>
        <v>29.667149059334299</v>
      </c>
      <c r="P74" s="30">
        <v>41.777134587554265</v>
      </c>
      <c r="Q74" s="30">
        <f t="shared" si="4"/>
        <v>-12.109985528219966</v>
      </c>
      <c r="R74" s="30">
        <f t="shared" si="5"/>
        <v>146.651749493697</v>
      </c>
    </row>
    <row r="75" spans="1:18" ht="47.25" x14ac:dyDescent="0.25">
      <c r="A75" s="4">
        <v>71</v>
      </c>
      <c r="B75" s="33" t="s">
        <v>1011</v>
      </c>
      <c r="C75" s="4">
        <v>504800126</v>
      </c>
      <c r="D75" s="33" t="s">
        <v>1012</v>
      </c>
      <c r="E75" s="4" t="s">
        <v>39</v>
      </c>
      <c r="F75" s="68">
        <f>(59+57+47+44+60+58+60+55+30+28+28+27)/600*100</f>
        <v>92.166666666666657</v>
      </c>
      <c r="G75" s="4" t="s">
        <v>328</v>
      </c>
      <c r="H75" s="33" t="s">
        <v>1013</v>
      </c>
      <c r="I75" s="33">
        <v>359400</v>
      </c>
      <c r="J75" s="4">
        <v>200</v>
      </c>
      <c r="K75" s="4">
        <v>71.510000000000005</v>
      </c>
      <c r="L75" s="4" t="s">
        <v>958</v>
      </c>
      <c r="M75" s="4" t="s">
        <v>328</v>
      </c>
      <c r="N75" s="4" t="s">
        <v>1014</v>
      </c>
      <c r="O75" s="30">
        <f t="shared" si="3"/>
        <v>28.943560057887119</v>
      </c>
      <c r="P75" s="30">
        <v>41.777134587554265</v>
      </c>
      <c r="Q75" s="30">
        <f t="shared" si="4"/>
        <v>-12.833574529667146</v>
      </c>
      <c r="R75" s="30">
        <f t="shared" si="5"/>
        <v>164.70063520852131</v>
      </c>
    </row>
    <row r="76" spans="1:18" ht="47.25" x14ac:dyDescent="0.25">
      <c r="A76" s="4">
        <v>72</v>
      </c>
      <c r="B76" s="72" t="s">
        <v>1015</v>
      </c>
      <c r="C76" s="4">
        <v>500907310</v>
      </c>
      <c r="D76" s="72" t="s">
        <v>1016</v>
      </c>
      <c r="E76" s="4" t="s">
        <v>46</v>
      </c>
      <c r="F76" s="68">
        <f>(56+55+56+57+53+59+50+50+29+29+27+28)/600*100</f>
        <v>91.5</v>
      </c>
      <c r="G76" s="4" t="s">
        <v>328</v>
      </c>
      <c r="H76" s="33" t="s">
        <v>1017</v>
      </c>
      <c r="I76" s="33">
        <v>361822</v>
      </c>
      <c r="J76" s="4">
        <v>199</v>
      </c>
      <c r="K76" s="4">
        <v>71.34</v>
      </c>
      <c r="L76" s="4" t="s">
        <v>922</v>
      </c>
      <c r="M76" s="4" t="s">
        <v>328</v>
      </c>
      <c r="N76" s="63" t="s">
        <v>1018</v>
      </c>
      <c r="O76" s="30">
        <f t="shared" si="3"/>
        <v>28.798842257597684</v>
      </c>
      <c r="P76" s="30">
        <v>41.777134587554265</v>
      </c>
      <c r="Q76" s="30">
        <f t="shared" si="4"/>
        <v>-12.978292329956581</v>
      </c>
      <c r="R76" s="30">
        <f t="shared" si="5"/>
        <v>168.43607180180982</v>
      </c>
    </row>
    <row r="77" spans="1:18" ht="31.5" x14ac:dyDescent="0.25">
      <c r="A77" s="4">
        <v>73</v>
      </c>
      <c r="B77" s="33" t="s">
        <v>1019</v>
      </c>
      <c r="C77" s="4">
        <v>512524572</v>
      </c>
      <c r="D77" s="33" t="s">
        <v>1020</v>
      </c>
      <c r="E77" s="4" t="s">
        <v>33</v>
      </c>
      <c r="F77" s="68">
        <f>(55+60+50+37+58+60+54+57+30+30+30+26)/600*100</f>
        <v>91.166666666666657</v>
      </c>
      <c r="G77" s="4" t="s">
        <v>328</v>
      </c>
      <c r="H77" s="33" t="s">
        <v>1021</v>
      </c>
      <c r="I77" s="33">
        <v>370660</v>
      </c>
      <c r="J77" s="4">
        <v>196</v>
      </c>
      <c r="K77" s="4">
        <v>70.790000000000006</v>
      </c>
      <c r="L77" s="4" t="s">
        <v>922</v>
      </c>
      <c r="M77" s="4" t="s">
        <v>328</v>
      </c>
      <c r="N77" s="4" t="s">
        <v>1022</v>
      </c>
      <c r="O77" s="30">
        <f t="shared" si="3"/>
        <v>28.364688856729376</v>
      </c>
      <c r="P77" s="30">
        <v>41.777134587554265</v>
      </c>
      <c r="Q77" s="30">
        <f t="shared" si="4"/>
        <v>-13.412445730824889</v>
      </c>
      <c r="R77" s="30">
        <f t="shared" si="5"/>
        <v>179.89370048232277</v>
      </c>
    </row>
    <row r="78" spans="1:18" ht="30" x14ac:dyDescent="0.25">
      <c r="A78" s="4">
        <v>74</v>
      </c>
      <c r="B78" s="70" t="s">
        <v>1023</v>
      </c>
      <c r="C78" s="69">
        <v>500804459</v>
      </c>
      <c r="D78" s="33" t="s">
        <v>1024</v>
      </c>
      <c r="E78" s="69" t="s">
        <v>37</v>
      </c>
      <c r="F78" s="68">
        <f>(57+39+46+44+51+37+42+57+30+30+30+28+29)/600*100</f>
        <v>86.666666666666671</v>
      </c>
      <c r="G78" s="4" t="s">
        <v>328</v>
      </c>
      <c r="H78" s="33" t="s">
        <v>1025</v>
      </c>
      <c r="I78" s="33">
        <v>378814</v>
      </c>
      <c r="J78" s="33">
        <v>192</v>
      </c>
      <c r="K78" s="69">
        <v>69.989999999999995</v>
      </c>
      <c r="L78" s="4" t="s">
        <v>949</v>
      </c>
      <c r="M78" s="4" t="s">
        <v>328</v>
      </c>
      <c r="N78" s="62" t="s">
        <v>1026</v>
      </c>
      <c r="O78" s="30">
        <f t="shared" si="3"/>
        <v>27.785817655571634</v>
      </c>
      <c r="P78" s="30">
        <v>41.777134587554265</v>
      </c>
      <c r="Q78" s="30">
        <f t="shared" si="4"/>
        <v>-13.991316931982631</v>
      </c>
      <c r="R78" s="30">
        <f t="shared" si="5"/>
        <v>195.75694949118386</v>
      </c>
    </row>
    <row r="79" spans="1:18" ht="63" x14ac:dyDescent="0.25">
      <c r="A79" s="4">
        <v>75</v>
      </c>
      <c r="B79" s="36" t="s">
        <v>1027</v>
      </c>
      <c r="C79" s="4">
        <v>500903703</v>
      </c>
      <c r="D79" s="33" t="s">
        <v>1028</v>
      </c>
      <c r="E79" s="4" t="s">
        <v>37</v>
      </c>
      <c r="F79" s="68">
        <f>(59+60+58+60+60+60+59+60+30+90)/600*100</f>
        <v>99.333333333333329</v>
      </c>
      <c r="G79" s="4" t="s">
        <v>328</v>
      </c>
      <c r="H79" s="33" t="s">
        <v>1029</v>
      </c>
      <c r="I79" s="33">
        <v>397669</v>
      </c>
      <c r="J79" s="4">
        <v>180</v>
      </c>
      <c r="K79" s="4">
        <v>68.540000000000006</v>
      </c>
      <c r="L79" s="4" t="s">
        <v>922</v>
      </c>
      <c r="M79" s="4" t="s">
        <v>328</v>
      </c>
      <c r="N79" s="4" t="s">
        <v>1030</v>
      </c>
      <c r="O79" s="30">
        <f t="shared" si="3"/>
        <v>26.049204052098407</v>
      </c>
      <c r="P79" s="30">
        <v>41.777134587554265</v>
      </c>
      <c r="Q79" s="30">
        <f t="shared" si="4"/>
        <v>-15.727930535455858</v>
      </c>
      <c r="R79" s="30">
        <f t="shared" si="5"/>
        <v>247.36779892812478</v>
      </c>
    </row>
    <row r="80" spans="1:18" ht="31.5" x14ac:dyDescent="0.25">
      <c r="A80" s="4">
        <v>76</v>
      </c>
      <c r="B80" s="33" t="s">
        <v>1031</v>
      </c>
      <c r="C80" s="4">
        <v>500804488</v>
      </c>
      <c r="D80" s="33" t="s">
        <v>1032</v>
      </c>
      <c r="E80" s="4" t="s">
        <v>43</v>
      </c>
      <c r="F80" s="68">
        <f>(40+48+43+56+45+56+52+47+29+28+28+21)/600*100</f>
        <v>82.166666666666671</v>
      </c>
      <c r="G80" s="4" t="s">
        <v>328</v>
      </c>
      <c r="H80" s="33" t="s">
        <v>1033</v>
      </c>
      <c r="I80" s="33">
        <v>413691</v>
      </c>
      <c r="J80" s="4">
        <v>179</v>
      </c>
      <c r="K80" s="4">
        <v>67.260000000000005</v>
      </c>
      <c r="L80" s="4" t="s">
        <v>922</v>
      </c>
      <c r="M80" s="4" t="s">
        <v>328</v>
      </c>
      <c r="N80" s="4" t="s">
        <v>1034</v>
      </c>
      <c r="O80" s="30">
        <f t="shared" si="3"/>
        <v>25.904486251808972</v>
      </c>
      <c r="P80" s="30">
        <v>41.777134587554265</v>
      </c>
      <c r="Q80" s="30">
        <f t="shared" si="4"/>
        <v>-15.872648335745293</v>
      </c>
      <c r="R80" s="30">
        <f t="shared" si="5"/>
        <v>251.94096519023782</v>
      </c>
    </row>
    <row r="81" spans="1:18" ht="47.25" x14ac:dyDescent="0.25">
      <c r="A81" s="4">
        <v>77</v>
      </c>
      <c r="B81" s="33" t="s">
        <v>1035</v>
      </c>
      <c r="C81" s="4">
        <v>500808333</v>
      </c>
      <c r="D81" s="33" t="s">
        <v>1036</v>
      </c>
      <c r="E81" s="4" t="s">
        <v>61</v>
      </c>
      <c r="F81" s="68">
        <f>(60+58+60+59+60+58+60+56+30+90)/600*100</f>
        <v>98.5</v>
      </c>
      <c r="G81" s="4" t="s">
        <v>328</v>
      </c>
      <c r="H81" s="33" t="s">
        <v>1037</v>
      </c>
      <c r="I81" s="33">
        <v>429993</v>
      </c>
      <c r="J81" s="4">
        <v>173</v>
      </c>
      <c r="K81" s="4">
        <v>65.92</v>
      </c>
      <c r="L81" s="4" t="s">
        <v>922</v>
      </c>
      <c r="M81" s="4" t="s">
        <v>328</v>
      </c>
      <c r="N81" s="4" t="s">
        <v>1038</v>
      </c>
      <c r="O81" s="30">
        <f t="shared" si="3"/>
        <v>25.03617945007236</v>
      </c>
      <c r="P81" s="30">
        <v>41.777134587554265</v>
      </c>
      <c r="Q81" s="30">
        <f t="shared" si="4"/>
        <v>-16.740955137481905</v>
      </c>
      <c r="R81" s="30">
        <f t="shared" si="5"/>
        <v>280.25957891518175</v>
      </c>
    </row>
    <row r="82" spans="1:18" ht="47.25" x14ac:dyDescent="0.25">
      <c r="A82" s="4">
        <v>78</v>
      </c>
      <c r="B82" s="33" t="s">
        <v>1039</v>
      </c>
      <c r="C82" s="4">
        <v>500805873</v>
      </c>
      <c r="D82" s="33" t="s">
        <v>1040</v>
      </c>
      <c r="E82" s="4" t="s">
        <v>33</v>
      </c>
      <c r="F82" s="68">
        <f>(54+54+39+54+60+52+55+54+29+25+26+28)/600*100</f>
        <v>88.333333333333329</v>
      </c>
      <c r="G82" s="4" t="s">
        <v>328</v>
      </c>
      <c r="H82" s="33" t="s">
        <v>1041</v>
      </c>
      <c r="I82" s="33">
        <v>433067</v>
      </c>
      <c r="J82" s="4">
        <v>172</v>
      </c>
      <c r="K82" s="4">
        <v>65.7</v>
      </c>
      <c r="L82" s="4" t="s">
        <v>922</v>
      </c>
      <c r="M82" s="4" t="s">
        <v>328</v>
      </c>
      <c r="N82" s="4" t="s">
        <v>1042</v>
      </c>
      <c r="O82" s="30">
        <f t="shared" si="3"/>
        <v>24.891461649782922</v>
      </c>
      <c r="P82" s="30">
        <v>41.777134587554265</v>
      </c>
      <c r="Q82" s="30">
        <f t="shared" si="4"/>
        <v>-16.885672937771343</v>
      </c>
      <c r="R82" s="30">
        <f t="shared" si="5"/>
        <v>285.12595056138349</v>
      </c>
    </row>
    <row r="83" spans="1:18" ht="30" x14ac:dyDescent="0.25">
      <c r="A83" s="4">
        <v>79</v>
      </c>
      <c r="B83" s="70" t="s">
        <v>1043</v>
      </c>
      <c r="C83" s="69">
        <v>500816030</v>
      </c>
      <c r="D83" s="33" t="s">
        <v>1044</v>
      </c>
      <c r="E83" s="71" t="s">
        <v>43</v>
      </c>
      <c r="F83" s="68">
        <f>(45+53+42+43+54+59+52+60+28+28+26+26)/600*100</f>
        <v>86</v>
      </c>
      <c r="G83" s="4" t="s">
        <v>328</v>
      </c>
      <c r="H83" s="33" t="s">
        <v>1045</v>
      </c>
      <c r="I83" s="33">
        <v>433601</v>
      </c>
      <c r="J83" s="33">
        <v>172</v>
      </c>
      <c r="K83" s="35">
        <v>65.7</v>
      </c>
      <c r="L83" s="4" t="s">
        <v>820</v>
      </c>
      <c r="M83" s="4" t="s">
        <v>328</v>
      </c>
      <c r="N83" s="62" t="s">
        <v>1046</v>
      </c>
      <c r="O83" s="30">
        <f t="shared" si="3"/>
        <v>24.891461649782922</v>
      </c>
      <c r="P83" s="30">
        <v>41.777134587554265</v>
      </c>
      <c r="Q83" s="30">
        <f t="shared" si="4"/>
        <v>-16.885672937771343</v>
      </c>
      <c r="R83" s="30">
        <f t="shared" si="5"/>
        <v>285.12595056138349</v>
      </c>
    </row>
    <row r="84" spans="1:18" ht="47.25" x14ac:dyDescent="0.25">
      <c r="A84" s="4">
        <v>80</v>
      </c>
      <c r="B84" s="36" t="s">
        <v>1047</v>
      </c>
      <c r="C84" s="4">
        <v>500806793</v>
      </c>
      <c r="D84" s="33" t="s">
        <v>1048</v>
      </c>
      <c r="E84" s="4" t="s">
        <v>39</v>
      </c>
      <c r="F84" s="68">
        <f>(54+50+55+53+41+57+59+29+30+30+30)/600*100</f>
        <v>81.333333333333329</v>
      </c>
      <c r="G84" s="4" t="s">
        <v>328</v>
      </c>
      <c r="H84" s="33" t="s">
        <v>1049</v>
      </c>
      <c r="I84" s="33">
        <v>440614</v>
      </c>
      <c r="J84" s="4">
        <v>170</v>
      </c>
      <c r="K84" s="4">
        <v>65.209999999999994</v>
      </c>
      <c r="L84" s="4" t="s">
        <v>922</v>
      </c>
      <c r="M84" s="4" t="s">
        <v>328</v>
      </c>
      <c r="N84" s="4" t="s">
        <v>1050</v>
      </c>
      <c r="O84" s="30">
        <f t="shared" si="3"/>
        <v>24.602026049204053</v>
      </c>
      <c r="P84" s="30">
        <v>41.777134587554265</v>
      </c>
      <c r="Q84" s="30">
        <f t="shared" si="4"/>
        <v>-17.175108538350212</v>
      </c>
      <c r="R84" s="30">
        <f t="shared" si="5"/>
        <v>294.98435330411036</v>
      </c>
    </row>
    <row r="85" spans="1:18" ht="30" x14ac:dyDescent="0.25">
      <c r="A85" s="4">
        <v>81</v>
      </c>
      <c r="B85" s="33" t="s">
        <v>1051</v>
      </c>
      <c r="C85" s="4">
        <v>502606915</v>
      </c>
      <c r="D85" s="34" t="s">
        <v>1052</v>
      </c>
      <c r="E85" s="4" t="s">
        <v>37</v>
      </c>
      <c r="F85" s="61">
        <f>(51+52+70)/300*100</f>
        <v>57.666666666666664</v>
      </c>
      <c r="G85" s="4" t="s">
        <v>328</v>
      </c>
      <c r="H85" s="4" t="s">
        <v>1053</v>
      </c>
      <c r="I85" s="4">
        <v>442428</v>
      </c>
      <c r="J85" s="4">
        <v>169</v>
      </c>
      <c r="K85" s="4">
        <v>64.98</v>
      </c>
      <c r="L85" s="4" t="s">
        <v>791</v>
      </c>
      <c r="M85" s="4" t="s">
        <v>328</v>
      </c>
      <c r="N85" s="62" t="s">
        <v>1054</v>
      </c>
      <c r="O85" s="30">
        <f t="shared" si="3"/>
        <v>24.457308248914618</v>
      </c>
      <c r="P85" s="30">
        <v>41.777134587554265</v>
      </c>
      <c r="Q85" s="30">
        <f t="shared" si="4"/>
        <v>-17.319826338639647</v>
      </c>
      <c r="R85" s="30">
        <f t="shared" si="5"/>
        <v>299.97638440063565</v>
      </c>
    </row>
    <row r="86" spans="1:18" ht="47.25" x14ac:dyDescent="0.25">
      <c r="A86" s="4">
        <v>82</v>
      </c>
      <c r="B86" s="33" t="s">
        <v>1055</v>
      </c>
      <c r="C86" s="4">
        <v>500810558</v>
      </c>
      <c r="D86" s="33" t="s">
        <v>1056</v>
      </c>
      <c r="E86" s="4" t="s">
        <v>33</v>
      </c>
      <c r="F86" s="68">
        <f>(59+56+55+52+56+59+60+60+30+30+30+24)/600*100</f>
        <v>95.166666666666671</v>
      </c>
      <c r="G86" s="4" t="s">
        <v>328</v>
      </c>
      <c r="H86" s="33" t="s">
        <v>1057</v>
      </c>
      <c r="I86" s="33">
        <v>453814</v>
      </c>
      <c r="J86" s="4">
        <v>165</v>
      </c>
      <c r="K86" s="4">
        <v>64</v>
      </c>
      <c r="L86" s="4" t="s">
        <v>958</v>
      </c>
      <c r="M86" s="4" t="s">
        <v>328</v>
      </c>
      <c r="N86" s="4" t="s">
        <v>1058</v>
      </c>
      <c r="O86" s="30">
        <f t="shared" si="3"/>
        <v>23.878437047756876</v>
      </c>
      <c r="P86" s="30">
        <v>41.777134587554265</v>
      </c>
      <c r="Q86" s="30">
        <f t="shared" si="4"/>
        <v>-17.898697539797389</v>
      </c>
      <c r="R86" s="30">
        <f t="shared" si="5"/>
        <v>320.36337362114909</v>
      </c>
    </row>
    <row r="87" spans="1:18" ht="47.25" x14ac:dyDescent="0.25">
      <c r="A87" s="4">
        <v>83</v>
      </c>
      <c r="B87" s="33" t="s">
        <v>1059</v>
      </c>
      <c r="C87" s="4">
        <v>500205057</v>
      </c>
      <c r="D87" s="33" t="s">
        <v>1060</v>
      </c>
      <c r="E87" s="4" t="s">
        <v>33</v>
      </c>
      <c r="F87" s="68">
        <f>(56+55+58+45+55+56+260+54+30+7+28+28)/600*100</f>
        <v>122</v>
      </c>
      <c r="G87" s="4" t="s">
        <v>328</v>
      </c>
      <c r="H87" s="33" t="s">
        <v>1061</v>
      </c>
      <c r="I87" s="33">
        <v>464894</v>
      </c>
      <c r="J87" s="4">
        <v>162</v>
      </c>
      <c r="K87" s="4">
        <v>63.29</v>
      </c>
      <c r="L87" s="4" t="s">
        <v>958</v>
      </c>
      <c r="M87" s="4" t="s">
        <v>328</v>
      </c>
      <c r="N87" s="4" t="s">
        <v>1062</v>
      </c>
      <c r="O87" s="30">
        <f t="shared" si="3"/>
        <v>23.444283646888568</v>
      </c>
      <c r="P87" s="30">
        <v>41.777134587554265</v>
      </c>
      <c r="Q87" s="30">
        <f t="shared" si="4"/>
        <v>-18.332850940665697</v>
      </c>
      <c r="R87" s="30">
        <f t="shared" si="5"/>
        <v>336.09342361266715</v>
      </c>
    </row>
    <row r="88" spans="1:18" ht="31.5" x14ac:dyDescent="0.25">
      <c r="A88" s="4">
        <v>84</v>
      </c>
      <c r="B88" s="36" t="s">
        <v>1063</v>
      </c>
      <c r="C88" s="4">
        <v>500805852</v>
      </c>
      <c r="D88" s="33" t="s">
        <v>1064</v>
      </c>
      <c r="E88" s="4" t="s">
        <v>37</v>
      </c>
      <c r="F88" s="68">
        <f>(48+44+59+51+35+52+53+60+27+90)/600*100</f>
        <v>86.5</v>
      </c>
      <c r="G88" s="4" t="s">
        <v>328</v>
      </c>
      <c r="H88" s="33" t="s">
        <v>1065</v>
      </c>
      <c r="I88" s="33">
        <v>484548</v>
      </c>
      <c r="J88" s="4">
        <v>156</v>
      </c>
      <c r="K88" s="4">
        <v>61.77</v>
      </c>
      <c r="L88" s="4" t="s">
        <v>958</v>
      </c>
      <c r="M88" s="4" t="s">
        <v>328</v>
      </c>
      <c r="N88" s="4" t="s">
        <v>1066</v>
      </c>
      <c r="O88" s="30">
        <f t="shared" si="3"/>
        <v>22.575976845151953</v>
      </c>
      <c r="P88" s="30">
        <v>41.777134587554265</v>
      </c>
      <c r="Q88" s="30">
        <f t="shared" si="4"/>
        <v>-19.201157742402312</v>
      </c>
      <c r="R88" s="30">
        <f t="shared" si="5"/>
        <v>368.68445864861627</v>
      </c>
    </row>
    <row r="89" spans="1:18" ht="31.5" x14ac:dyDescent="0.25">
      <c r="A89" s="4">
        <v>85</v>
      </c>
      <c r="B89" s="36" t="s">
        <v>1067</v>
      </c>
      <c r="C89" s="4">
        <v>500902535</v>
      </c>
      <c r="D89" s="33" t="s">
        <v>1068</v>
      </c>
      <c r="E89" s="4" t="s">
        <v>33</v>
      </c>
      <c r="F89" s="68">
        <f>(56+55+55+47+56+57+57+52+30+29+27+29)/600*100</f>
        <v>91.666666666666657</v>
      </c>
      <c r="G89" s="4" t="s">
        <v>328</v>
      </c>
      <c r="H89" s="33" t="s">
        <v>1069</v>
      </c>
      <c r="I89" s="33">
        <v>502868</v>
      </c>
      <c r="J89" s="4">
        <v>150</v>
      </c>
      <c r="K89" s="4">
        <v>60.06</v>
      </c>
      <c r="L89" s="4" t="s">
        <v>958</v>
      </c>
      <c r="M89" s="4" t="s">
        <v>328</v>
      </c>
      <c r="N89" s="4" t="s">
        <v>1070</v>
      </c>
      <c r="O89" s="30">
        <f t="shared" si="3"/>
        <v>21.707670043415341</v>
      </c>
      <c r="P89" s="30">
        <v>41.777134587554265</v>
      </c>
      <c r="Q89" s="30">
        <f t="shared" si="4"/>
        <v>-20.069464544138924</v>
      </c>
      <c r="R89" s="30">
        <f t="shared" si="5"/>
        <v>402.78340708844939</v>
      </c>
    </row>
    <row r="90" spans="1:18" ht="31.5" x14ac:dyDescent="0.25">
      <c r="A90" s="4">
        <v>86</v>
      </c>
      <c r="B90" s="70" t="s">
        <v>1071</v>
      </c>
      <c r="C90" s="69">
        <v>512500042</v>
      </c>
      <c r="D90" s="33" t="s">
        <v>1072</v>
      </c>
      <c r="E90" s="71" t="s">
        <v>61</v>
      </c>
      <c r="F90" s="68">
        <f>(54+49+53+44+56+46+56+49+30+20+30+29)/600*100</f>
        <v>86</v>
      </c>
      <c r="G90" s="4" t="s">
        <v>328</v>
      </c>
      <c r="H90" s="33" t="s">
        <v>1073</v>
      </c>
      <c r="I90" s="33">
        <v>514132</v>
      </c>
      <c r="J90" s="33">
        <v>147</v>
      </c>
      <c r="K90" s="35">
        <v>59.26</v>
      </c>
      <c r="L90" s="4" t="s">
        <v>820</v>
      </c>
      <c r="M90" s="4" t="s">
        <v>328</v>
      </c>
      <c r="N90" s="62" t="s">
        <v>1074</v>
      </c>
      <c r="O90" s="30">
        <f t="shared" si="3"/>
        <v>21.273516642547033</v>
      </c>
      <c r="P90" s="30">
        <v>41.777134587554265</v>
      </c>
      <c r="Q90" s="30">
        <f t="shared" si="4"/>
        <v>-20.503617945007232</v>
      </c>
      <c r="R90" s="30">
        <f t="shared" si="5"/>
        <v>420.39834883482257</v>
      </c>
    </row>
    <row r="91" spans="1:18" ht="31.5" x14ac:dyDescent="0.25">
      <c r="A91" s="4">
        <v>87</v>
      </c>
      <c r="B91" s="33" t="s">
        <v>1075</v>
      </c>
      <c r="C91" s="4">
        <v>500904345</v>
      </c>
      <c r="D91" s="33" t="s">
        <v>1076</v>
      </c>
      <c r="E91" s="4" t="s">
        <v>33</v>
      </c>
      <c r="F91" s="68">
        <f>(65+57+72)/300*100</f>
        <v>64.666666666666657</v>
      </c>
      <c r="G91" s="4" t="s">
        <v>328</v>
      </c>
      <c r="H91" s="33" t="s">
        <v>1077</v>
      </c>
      <c r="I91" s="33">
        <v>527865</v>
      </c>
      <c r="J91" s="4">
        <v>144</v>
      </c>
      <c r="K91" s="4">
        <v>58.35</v>
      </c>
      <c r="L91" s="4" t="s">
        <v>922</v>
      </c>
      <c r="M91" s="4" t="s">
        <v>328</v>
      </c>
      <c r="N91" s="4" t="s">
        <v>1078</v>
      </c>
      <c r="O91" s="30">
        <f t="shared" si="3"/>
        <v>20.839363241678726</v>
      </c>
      <c r="P91" s="30">
        <v>41.777134587554265</v>
      </c>
      <c r="Q91" s="30">
        <f t="shared" si="4"/>
        <v>-20.937771345875539</v>
      </c>
      <c r="R91" s="30">
        <f t="shared" si="5"/>
        <v>438.3902689321668</v>
      </c>
    </row>
    <row r="92" spans="1:18" ht="45" x14ac:dyDescent="0.25">
      <c r="A92" s="4">
        <v>88</v>
      </c>
      <c r="B92" s="33" t="s">
        <v>1079</v>
      </c>
      <c r="C92" s="4">
        <v>500206241</v>
      </c>
      <c r="D92" s="33" t="s">
        <v>1080</v>
      </c>
      <c r="E92" s="4" t="s">
        <v>33</v>
      </c>
      <c r="F92" s="68">
        <f>(59+56+52+44+60+59+56+55+28+30+29+29)/600*100</f>
        <v>92.833333333333329</v>
      </c>
      <c r="G92" s="4" t="s">
        <v>328</v>
      </c>
      <c r="H92" s="33" t="s">
        <v>1081</v>
      </c>
      <c r="I92" s="33">
        <v>575818</v>
      </c>
      <c r="J92" s="33">
        <v>131</v>
      </c>
      <c r="K92" s="4">
        <v>54.34</v>
      </c>
      <c r="L92" s="4" t="s">
        <v>820</v>
      </c>
      <c r="M92" s="4" t="s">
        <v>328</v>
      </c>
      <c r="N92" s="62" t="s">
        <v>1082</v>
      </c>
      <c r="O92" s="30">
        <f t="shared" si="3"/>
        <v>18.958031837916064</v>
      </c>
      <c r="P92" s="30">
        <v>41.777134587554265</v>
      </c>
      <c r="Q92" s="30">
        <f t="shared" si="4"/>
        <v>-22.819102749638201</v>
      </c>
      <c r="R92" s="30">
        <f t="shared" si="5"/>
        <v>520.71145029854574</v>
      </c>
    </row>
    <row r="93" spans="1:18" ht="30" x14ac:dyDescent="0.25">
      <c r="A93" s="4">
        <v>89</v>
      </c>
      <c r="B93" s="91" t="s">
        <v>1083</v>
      </c>
      <c r="C93" s="69">
        <v>500813722</v>
      </c>
      <c r="D93" s="33" t="s">
        <v>620</v>
      </c>
      <c r="E93" s="69" t="s">
        <v>37</v>
      </c>
      <c r="F93" s="68">
        <f>(51+21+48+39+23+24+46+25+28+26+28+27)/600*100</f>
        <v>64.333333333333329</v>
      </c>
      <c r="G93" s="4" t="s">
        <v>328</v>
      </c>
      <c r="H93" s="33" t="s">
        <v>1084</v>
      </c>
      <c r="I93" s="33">
        <v>587105</v>
      </c>
      <c r="J93" s="33">
        <v>129</v>
      </c>
      <c r="K93" s="69">
        <v>53.59</v>
      </c>
      <c r="L93" s="4" t="s">
        <v>949</v>
      </c>
      <c r="M93" s="4" t="s">
        <v>328</v>
      </c>
      <c r="N93" s="62" t="s">
        <v>1085</v>
      </c>
      <c r="O93" s="30">
        <f t="shared" si="3"/>
        <v>18.668596237337191</v>
      </c>
      <c r="P93" s="30">
        <v>41.777134587554265</v>
      </c>
      <c r="Q93" s="30">
        <f t="shared" si="4"/>
        <v>-23.108538350217074</v>
      </c>
      <c r="R93" s="30">
        <f t="shared" si="5"/>
        <v>534.00454468345322</v>
      </c>
    </row>
    <row r="94" spans="1:18" ht="31.5" x14ac:dyDescent="0.25">
      <c r="A94" s="4">
        <v>90</v>
      </c>
      <c r="B94" s="92" t="s">
        <v>1086</v>
      </c>
      <c r="C94" s="4">
        <v>500815094</v>
      </c>
      <c r="D94" s="72" t="s">
        <v>1087</v>
      </c>
      <c r="E94" s="4" t="s">
        <v>33</v>
      </c>
      <c r="F94" s="68">
        <f>(59+56+54+54+53+60+48+59+24+27+26+29)/600*100</f>
        <v>91.5</v>
      </c>
      <c r="G94" s="4" t="s">
        <v>328</v>
      </c>
      <c r="H94" s="33" t="s">
        <v>165</v>
      </c>
      <c r="I94" s="33">
        <v>594481</v>
      </c>
      <c r="J94" s="4">
        <v>127</v>
      </c>
      <c r="K94" s="4">
        <v>52.97</v>
      </c>
      <c r="L94" s="4" t="s">
        <v>922</v>
      </c>
      <c r="M94" s="4" t="s">
        <v>328</v>
      </c>
      <c r="N94" s="63" t="s">
        <v>1088</v>
      </c>
      <c r="O94" s="30">
        <f t="shared" si="3"/>
        <v>18.379160636758321</v>
      </c>
      <c r="P94" s="30">
        <v>41.777134587554265</v>
      </c>
      <c r="Q94" s="30">
        <f t="shared" si="4"/>
        <v>-23.397973950795944</v>
      </c>
      <c r="R94" s="30">
        <f t="shared" si="5"/>
        <v>547.46518500212551</v>
      </c>
    </row>
    <row r="95" spans="1:18" ht="31.5" x14ac:dyDescent="0.25">
      <c r="A95" s="4">
        <v>91</v>
      </c>
      <c r="B95" s="33" t="s">
        <v>1089</v>
      </c>
      <c r="C95" s="4">
        <v>512512164</v>
      </c>
      <c r="D95" s="33" t="s">
        <v>1090</v>
      </c>
      <c r="E95" s="4" t="s">
        <v>33</v>
      </c>
      <c r="F95" s="68">
        <f>(49+33+40+39+33+51+43+28+29+30+30+28)/600*100</f>
        <v>72.166666666666671</v>
      </c>
      <c r="G95" s="4" t="s">
        <v>328</v>
      </c>
      <c r="H95" s="33" t="s">
        <v>1091</v>
      </c>
      <c r="I95" s="33">
        <v>612702</v>
      </c>
      <c r="J95" s="4">
        <v>123</v>
      </c>
      <c r="K95" s="4">
        <v>51.52</v>
      </c>
      <c r="L95" s="4" t="s">
        <v>922</v>
      </c>
      <c r="M95" s="4" t="s">
        <v>328</v>
      </c>
      <c r="N95" s="4" t="s">
        <v>1092</v>
      </c>
      <c r="O95" s="30">
        <f t="shared" si="3"/>
        <v>17.800289435600579</v>
      </c>
      <c r="P95" s="30">
        <v>41.777134587554265</v>
      </c>
      <c r="Q95" s="30">
        <f t="shared" si="4"/>
        <v>-23.976845151953686</v>
      </c>
      <c r="R95" s="30">
        <f t="shared" si="5"/>
        <v>574.88910344076498</v>
      </c>
    </row>
    <row r="96" spans="1:18" ht="45" x14ac:dyDescent="0.25">
      <c r="A96" s="4">
        <v>92</v>
      </c>
      <c r="B96" s="70" t="s">
        <v>1093</v>
      </c>
      <c r="C96" s="69">
        <v>512511874</v>
      </c>
      <c r="D96" s="33" t="s">
        <v>1094</v>
      </c>
      <c r="E96" s="69" t="s">
        <v>46</v>
      </c>
      <c r="F96" s="68">
        <f>(58+43+56+38+52+39+41+34+25+29+30+30)/600*100</f>
        <v>79.166666666666657</v>
      </c>
      <c r="G96" s="4" t="s">
        <v>328</v>
      </c>
      <c r="H96" s="33" t="s">
        <v>1095</v>
      </c>
      <c r="I96" s="33">
        <v>644835</v>
      </c>
      <c r="J96" s="33">
        <v>116</v>
      </c>
      <c r="K96" s="69">
        <v>48.95</v>
      </c>
      <c r="L96" s="4" t="s">
        <v>949</v>
      </c>
      <c r="M96" s="4" t="s">
        <v>328</v>
      </c>
      <c r="N96" s="62" t="s">
        <v>1096</v>
      </c>
      <c r="O96" s="30">
        <f t="shared" si="3"/>
        <v>16.787264833574529</v>
      </c>
      <c r="P96" s="30">
        <v>41.777134587554265</v>
      </c>
      <c r="Q96" s="30">
        <f t="shared" si="4"/>
        <v>-24.989869753979736</v>
      </c>
      <c r="R96" s="30">
        <f t="shared" si="5"/>
        <v>624.49359032087125</v>
      </c>
    </row>
    <row r="97" spans="1:18" ht="45" x14ac:dyDescent="0.25">
      <c r="A97" s="4">
        <v>93</v>
      </c>
      <c r="B97" s="70" t="s">
        <v>1097</v>
      </c>
      <c r="C97" s="69">
        <v>512515964</v>
      </c>
      <c r="D97" s="33" t="s">
        <v>1098</v>
      </c>
      <c r="E97" s="69" t="s">
        <v>382</v>
      </c>
      <c r="F97" s="68">
        <f>(43+25+47+22+43+35+42+34+21+25+23+28)/600*100</f>
        <v>64.666666666666657</v>
      </c>
      <c r="G97" s="4" t="s">
        <v>328</v>
      </c>
      <c r="H97" s="33" t="s">
        <v>1099</v>
      </c>
      <c r="I97" s="33">
        <v>661728</v>
      </c>
      <c r="J97" s="33">
        <v>113</v>
      </c>
      <c r="K97" s="69">
        <v>47.72</v>
      </c>
      <c r="L97" s="4" t="s">
        <v>949</v>
      </c>
      <c r="M97" s="4" t="s">
        <v>328</v>
      </c>
      <c r="N97" s="62" t="s">
        <v>1100</v>
      </c>
      <c r="O97" s="30">
        <f t="shared" si="3"/>
        <v>16.353111432706221</v>
      </c>
      <c r="P97" s="30">
        <v>41.777134587554265</v>
      </c>
      <c r="Q97" s="30">
        <f t="shared" si="4"/>
        <v>-25.424023154848044</v>
      </c>
      <c r="R97" s="30">
        <f t="shared" si="5"/>
        <v>646.3809533782495</v>
      </c>
    </row>
    <row r="98" spans="1:18" ht="45" x14ac:dyDescent="0.25">
      <c r="A98" s="4">
        <v>94</v>
      </c>
      <c r="B98" s="33" t="s">
        <v>1101</v>
      </c>
      <c r="C98" s="4">
        <v>500816641</v>
      </c>
      <c r="D98" s="33" t="s">
        <v>1102</v>
      </c>
      <c r="E98" s="4" t="s">
        <v>41</v>
      </c>
      <c r="F98" s="68">
        <f>(55+50+42+41+55+53+55+52+24+29+30+25)/600*100</f>
        <v>85.166666666666671</v>
      </c>
      <c r="G98" s="4" t="s">
        <v>328</v>
      </c>
      <c r="H98" s="33" t="s">
        <v>1103</v>
      </c>
      <c r="I98" s="33">
        <v>690711</v>
      </c>
      <c r="J98" s="33">
        <v>107</v>
      </c>
      <c r="K98" s="4">
        <v>45.29</v>
      </c>
      <c r="L98" s="4" t="s">
        <v>820</v>
      </c>
      <c r="M98" s="4" t="s">
        <v>328</v>
      </c>
      <c r="N98" s="62" t="s">
        <v>1104</v>
      </c>
      <c r="O98" s="30">
        <f t="shared" si="3"/>
        <v>15.484804630969609</v>
      </c>
      <c r="P98" s="30">
        <v>41.777134587554265</v>
      </c>
      <c r="Q98" s="30">
        <f t="shared" si="4"/>
        <v>-26.292329956584656</v>
      </c>
      <c r="R98" s="30">
        <f t="shared" si="5"/>
        <v>691.28661454591884</v>
      </c>
    </row>
    <row r="99" spans="1:18" ht="31.5" x14ac:dyDescent="0.25">
      <c r="A99" s="4">
        <v>95</v>
      </c>
      <c r="B99" s="33" t="s">
        <v>1105</v>
      </c>
      <c r="C99" s="4">
        <v>500206366</v>
      </c>
      <c r="D99" s="33" t="s">
        <v>338</v>
      </c>
      <c r="E99" s="4" t="s">
        <v>33</v>
      </c>
      <c r="F99" s="68">
        <f>(56+57+49+51+60+60+58+56+26+30+26+29)/600*100</f>
        <v>93</v>
      </c>
      <c r="G99" s="4" t="s">
        <v>328</v>
      </c>
      <c r="H99" s="33" t="s">
        <v>1106</v>
      </c>
      <c r="I99" s="33"/>
      <c r="J99" s="4">
        <v>189</v>
      </c>
      <c r="K99" s="4">
        <v>69.37</v>
      </c>
      <c r="L99" s="4" t="s">
        <v>958</v>
      </c>
      <c r="M99" s="4" t="s">
        <v>328</v>
      </c>
      <c r="N99" s="4" t="s">
        <v>1107</v>
      </c>
      <c r="O99" s="30">
        <f t="shared" si="3"/>
        <v>27.35166425470333</v>
      </c>
      <c r="P99" s="30">
        <v>41.777134587554265</v>
      </c>
      <c r="Q99" s="30">
        <f t="shared" si="4"/>
        <v>-14.425470332850935</v>
      </c>
      <c r="R99" s="30">
        <f t="shared" si="5"/>
        <v>208.09419432396245</v>
      </c>
    </row>
    <row r="100" spans="1:18" ht="45" x14ac:dyDescent="0.25">
      <c r="A100" s="4">
        <v>96</v>
      </c>
      <c r="B100" s="70" t="s">
        <v>1108</v>
      </c>
      <c r="C100" s="69">
        <v>500800481</v>
      </c>
      <c r="D100" s="33" t="s">
        <v>575</v>
      </c>
      <c r="E100" s="69" t="s">
        <v>46</v>
      </c>
      <c r="F100" s="68">
        <f>(55+61+61)/300*100</f>
        <v>59</v>
      </c>
      <c r="G100" s="4" t="s">
        <v>328</v>
      </c>
      <c r="H100" s="33" t="s">
        <v>1109</v>
      </c>
      <c r="I100" s="33">
        <v>589585</v>
      </c>
      <c r="J100" s="33">
        <v>128</v>
      </c>
      <c r="K100" s="33">
        <v>53.28</v>
      </c>
      <c r="L100" s="4" t="s">
        <v>1110</v>
      </c>
      <c r="M100" s="4" t="s">
        <v>328</v>
      </c>
      <c r="N100" s="62" t="s">
        <v>1111</v>
      </c>
      <c r="O100" s="30">
        <f t="shared" si="3"/>
        <v>18.523878437047756</v>
      </c>
      <c r="P100" s="30">
        <v>41.777134587554265</v>
      </c>
      <c r="Q100" s="30">
        <f t="shared" si="4"/>
        <v>-23.253256150506509</v>
      </c>
      <c r="R100" s="30">
        <f t="shared" si="5"/>
        <v>540.71392160106882</v>
      </c>
    </row>
    <row r="101" spans="1:18" ht="30" x14ac:dyDescent="0.25">
      <c r="A101" s="4">
        <v>97</v>
      </c>
      <c r="B101" s="70" t="s">
        <v>1112</v>
      </c>
      <c r="C101" s="69">
        <v>500814579</v>
      </c>
      <c r="D101" s="33" t="s">
        <v>1113</v>
      </c>
      <c r="E101" s="69" t="s">
        <v>50</v>
      </c>
      <c r="F101" s="68">
        <f>(60+59+58+56+57+58+58+57+120)/600*100</f>
        <v>97.166666666666671</v>
      </c>
      <c r="G101" s="4" t="s">
        <v>328</v>
      </c>
      <c r="H101" s="33" t="s">
        <v>1114</v>
      </c>
      <c r="I101" s="33">
        <v>355088</v>
      </c>
      <c r="J101" s="33">
        <v>202</v>
      </c>
      <c r="K101" s="69">
        <v>71.91</v>
      </c>
      <c r="L101" s="4" t="s">
        <v>1110</v>
      </c>
      <c r="M101" s="4" t="s">
        <v>328</v>
      </c>
      <c r="N101" s="62" t="s">
        <v>1115</v>
      </c>
      <c r="O101" s="30">
        <f t="shared" si="3"/>
        <v>29.232995658465992</v>
      </c>
      <c r="P101" s="30">
        <v>41.777134587554265</v>
      </c>
      <c r="Q101" s="30">
        <f t="shared" si="4"/>
        <v>-12.544138929088273</v>
      </c>
      <c r="R101" s="30">
        <f t="shared" si="5"/>
        <v>157.35542147226789</v>
      </c>
    </row>
    <row r="102" spans="1:18" ht="30" x14ac:dyDescent="0.25">
      <c r="A102" s="4">
        <v>98</v>
      </c>
      <c r="B102" s="70" t="s">
        <v>1116</v>
      </c>
      <c r="C102" s="69">
        <v>500905951</v>
      </c>
      <c r="D102" s="33" t="s">
        <v>1117</v>
      </c>
      <c r="E102" s="69" t="s">
        <v>39</v>
      </c>
      <c r="F102" s="68">
        <f>(52+60+59+50+49+60+51+56+28+28+24+21)/600*100</f>
        <v>89.666666666666657</v>
      </c>
      <c r="G102" s="4" t="s">
        <v>328</v>
      </c>
      <c r="H102" s="33" t="s">
        <v>499</v>
      </c>
      <c r="I102" s="33">
        <v>573814</v>
      </c>
      <c r="J102" s="33">
        <v>132</v>
      </c>
      <c r="K102" s="69">
        <v>54.66</v>
      </c>
      <c r="L102" s="4" t="s">
        <v>1118</v>
      </c>
      <c r="M102" s="4" t="s">
        <v>328</v>
      </c>
      <c r="N102" s="62" t="s">
        <v>1119</v>
      </c>
      <c r="O102" s="30">
        <f t="shared" si="3"/>
        <v>19.102749638205498</v>
      </c>
      <c r="P102" s="30">
        <v>41.777134587554265</v>
      </c>
      <c r="Q102" s="30">
        <f t="shared" si="4"/>
        <v>-22.674384949348767</v>
      </c>
      <c r="R102" s="30">
        <f t="shared" si="5"/>
        <v>514.12773283125387</v>
      </c>
    </row>
    <row r="103" spans="1:18" ht="31.5" x14ac:dyDescent="0.25">
      <c r="A103" s="4">
        <v>99</v>
      </c>
      <c r="B103" s="36" t="s">
        <v>1120</v>
      </c>
      <c r="C103" s="4">
        <v>500801423</v>
      </c>
      <c r="D103" s="33" t="s">
        <v>1121</v>
      </c>
      <c r="E103" s="69" t="s">
        <v>33</v>
      </c>
      <c r="F103" s="68">
        <f>(60+60+56+60+59+60+57+58+120)/600*100</f>
        <v>98.333333333333329</v>
      </c>
      <c r="G103" s="4" t="s">
        <v>328</v>
      </c>
      <c r="H103" s="33" t="s">
        <v>1122</v>
      </c>
      <c r="I103" s="33">
        <v>291578</v>
      </c>
      <c r="J103" s="33">
        <v>232</v>
      </c>
      <c r="K103" s="69">
        <v>76.95</v>
      </c>
      <c r="L103" s="4" t="s">
        <v>1110</v>
      </c>
      <c r="M103" s="4" t="s">
        <v>328</v>
      </c>
      <c r="N103" s="62" t="s">
        <v>1123</v>
      </c>
      <c r="O103" s="30">
        <f t="shared" si="3"/>
        <v>33.574529667149058</v>
      </c>
      <c r="P103" s="30">
        <v>41.777134587554265</v>
      </c>
      <c r="Q103" s="30">
        <f t="shared" si="4"/>
        <v>-8.2026049204052072</v>
      </c>
      <c r="R103" s="30">
        <f t="shared" si="5"/>
        <v>67.282727480255716</v>
      </c>
    </row>
    <row r="104" spans="1:18" ht="45" x14ac:dyDescent="0.25">
      <c r="A104" s="4">
        <v>100</v>
      </c>
      <c r="B104" s="91" t="s">
        <v>1124</v>
      </c>
      <c r="C104" s="69">
        <v>500909193</v>
      </c>
      <c r="D104" s="33" t="s">
        <v>1125</v>
      </c>
      <c r="E104" s="69" t="s">
        <v>61</v>
      </c>
      <c r="F104" s="68">
        <f>(60+60+60+60+52+55+56+57+26+30+26+28)/600*100</f>
        <v>95</v>
      </c>
      <c r="G104" s="4" t="s">
        <v>328</v>
      </c>
      <c r="H104" s="33" t="s">
        <v>1126</v>
      </c>
      <c r="I104" s="33">
        <v>212451</v>
      </c>
      <c r="J104" s="33">
        <v>278</v>
      </c>
      <c r="K104" s="69">
        <v>83.15</v>
      </c>
      <c r="L104" s="4" t="s">
        <v>1118</v>
      </c>
      <c r="M104" s="4" t="s">
        <v>328</v>
      </c>
      <c r="N104" s="62" t="s">
        <v>1127</v>
      </c>
      <c r="O104" s="30">
        <f t="shared" si="3"/>
        <v>40.231548480463097</v>
      </c>
      <c r="P104" s="30">
        <v>41.777134587554265</v>
      </c>
      <c r="Q104" s="30">
        <f t="shared" si="4"/>
        <v>-1.5455861070911681</v>
      </c>
      <c r="R104" s="30">
        <f t="shared" si="5"/>
        <v>2.3888364144332317</v>
      </c>
    </row>
    <row r="105" spans="1:18" ht="15.75" x14ac:dyDescent="0.25">
      <c r="A105" s="33"/>
      <c r="B105" s="33"/>
      <c r="C105" s="33"/>
      <c r="D105" s="33"/>
      <c r="E105" s="33"/>
      <c r="F105" s="33"/>
      <c r="G105" s="33"/>
      <c r="H105" s="33"/>
      <c r="I105" s="33"/>
      <c r="J105" s="33"/>
      <c r="K105" s="33"/>
      <c r="L105" s="33"/>
      <c r="M105" s="33"/>
      <c r="N105" s="93"/>
      <c r="O105" s="30">
        <f>SUM(O5:O104)</f>
        <v>4177.7134587554265</v>
      </c>
      <c r="P105" s="94"/>
      <c r="Q105" s="94"/>
      <c r="R105" s="30">
        <f>SUM(R6:R104)</f>
        <v>22062.366829256025</v>
      </c>
    </row>
    <row r="106" spans="1:18" ht="15.75" x14ac:dyDescent="0.25">
      <c r="A106" s="33"/>
      <c r="B106" s="33"/>
      <c r="C106" s="33"/>
      <c r="D106" s="33"/>
      <c r="E106" s="33"/>
      <c r="F106" s="33"/>
      <c r="G106" s="33"/>
      <c r="H106" s="33"/>
      <c r="I106" s="33"/>
      <c r="J106" s="33"/>
      <c r="K106" s="33"/>
      <c r="L106" s="33"/>
      <c r="M106" s="33"/>
      <c r="N106" s="93"/>
      <c r="O106" s="30">
        <f>O105/100</f>
        <v>41.777134587554265</v>
      </c>
      <c r="P106" s="94"/>
      <c r="Q106" s="94"/>
      <c r="R106" s="30">
        <f>R105/100</f>
        <v>220.62366829256024</v>
      </c>
    </row>
    <row r="107" spans="1:18" ht="45" x14ac:dyDescent="0.25">
      <c r="A107" s="74">
        <v>1</v>
      </c>
      <c r="B107" s="122" t="s">
        <v>732</v>
      </c>
      <c r="C107" s="122"/>
      <c r="D107" s="122"/>
      <c r="E107" s="122"/>
      <c r="F107" s="122"/>
      <c r="G107" s="122"/>
      <c r="H107" s="122"/>
      <c r="I107" s="122"/>
      <c r="J107" s="122"/>
      <c r="K107" s="122"/>
      <c r="L107" s="122"/>
      <c r="M107" s="122"/>
      <c r="N107" s="58"/>
      <c r="O107" s="58"/>
      <c r="P107" s="58"/>
      <c r="Q107" s="75" t="s">
        <v>1128</v>
      </c>
      <c r="R107" s="58">
        <v>14.85</v>
      </c>
    </row>
    <row r="108" spans="1:18" ht="15.75" x14ac:dyDescent="0.25">
      <c r="A108" s="74">
        <v>2</v>
      </c>
      <c r="B108" s="122" t="s">
        <v>734</v>
      </c>
      <c r="C108" s="122"/>
      <c r="D108" s="122"/>
      <c r="E108" s="122"/>
      <c r="F108" s="122"/>
      <c r="G108" s="122"/>
      <c r="H108" s="122"/>
      <c r="I108" s="122"/>
      <c r="J108" s="122"/>
      <c r="K108" s="122"/>
      <c r="L108" s="122"/>
      <c r="M108" s="122"/>
      <c r="N108" s="58"/>
      <c r="O108" s="58"/>
      <c r="P108" s="58"/>
      <c r="Q108" s="58"/>
      <c r="R108" s="58"/>
    </row>
    <row r="109" spans="1:18" ht="15.75" x14ac:dyDescent="0.25">
      <c r="A109" s="74">
        <v>3</v>
      </c>
      <c r="B109" s="122" t="s">
        <v>735</v>
      </c>
      <c r="C109" s="122"/>
      <c r="D109" s="122"/>
      <c r="E109" s="122"/>
      <c r="F109" s="122"/>
      <c r="G109" s="122"/>
      <c r="H109" s="122"/>
      <c r="I109" s="122"/>
      <c r="J109" s="122"/>
      <c r="K109" s="122"/>
      <c r="L109" s="122"/>
      <c r="M109" s="122"/>
      <c r="N109" s="58"/>
      <c r="O109" s="58"/>
      <c r="P109" s="58"/>
      <c r="Q109" s="58"/>
      <c r="R109" s="58"/>
    </row>
    <row r="110" spans="1:18" ht="15.75" x14ac:dyDescent="0.25">
      <c r="A110" s="74">
        <v>4</v>
      </c>
      <c r="B110" s="122" t="s">
        <v>736</v>
      </c>
      <c r="C110" s="122"/>
      <c r="D110" s="122"/>
      <c r="E110" s="122"/>
      <c r="F110" s="122"/>
      <c r="G110" s="122"/>
      <c r="H110" s="122"/>
      <c r="I110" s="122"/>
      <c r="J110" s="122"/>
      <c r="K110" s="122"/>
      <c r="L110" s="122"/>
      <c r="M110" s="122"/>
      <c r="N110" s="58"/>
      <c r="O110" s="58"/>
      <c r="P110" s="58"/>
      <c r="Q110" s="58"/>
      <c r="R110" s="58"/>
    </row>
    <row r="111" spans="1:18" ht="15.75" x14ac:dyDescent="0.25">
      <c r="A111" s="74">
        <v>5</v>
      </c>
      <c r="B111" s="122" t="s">
        <v>1129</v>
      </c>
      <c r="C111" s="122"/>
      <c r="D111" s="122"/>
      <c r="E111" s="122"/>
      <c r="F111" s="122"/>
      <c r="G111" s="122"/>
      <c r="H111" s="122"/>
      <c r="I111" s="122"/>
      <c r="J111" s="122"/>
      <c r="K111" s="122"/>
      <c r="L111" s="122"/>
      <c r="M111" s="122"/>
      <c r="N111" s="58"/>
      <c r="O111" s="58"/>
      <c r="P111" s="58"/>
      <c r="Q111" s="58"/>
      <c r="R111" s="58"/>
    </row>
    <row r="112" spans="1:18" ht="15.75" x14ac:dyDescent="0.25">
      <c r="A112" s="74">
        <v>6</v>
      </c>
      <c r="B112" s="122" t="s">
        <v>1130</v>
      </c>
      <c r="C112" s="122"/>
      <c r="D112" s="122"/>
      <c r="E112" s="122"/>
      <c r="F112" s="122"/>
      <c r="G112" s="122"/>
      <c r="H112" s="122"/>
      <c r="I112" s="122"/>
      <c r="J112" s="122"/>
      <c r="K112" s="122"/>
      <c r="L112" s="122"/>
      <c r="M112" s="122"/>
      <c r="N112" s="58"/>
      <c r="O112" s="58"/>
      <c r="P112" s="58"/>
      <c r="Q112" s="58"/>
      <c r="R112" s="58"/>
    </row>
    <row r="113" spans="1:18" ht="15.75" x14ac:dyDescent="0.25">
      <c r="A113" s="74">
        <v>7</v>
      </c>
      <c r="B113" s="122" t="s">
        <v>1131</v>
      </c>
      <c r="C113" s="122"/>
      <c r="D113" s="122"/>
      <c r="E113" s="122"/>
      <c r="F113" s="122"/>
      <c r="G113" s="122"/>
      <c r="H113" s="122"/>
      <c r="I113" s="122"/>
      <c r="J113" s="122"/>
      <c r="K113" s="122"/>
      <c r="L113" s="122"/>
      <c r="M113" s="122"/>
      <c r="N113" s="58"/>
      <c r="O113" s="58"/>
      <c r="P113" s="58"/>
      <c r="Q113" s="58"/>
      <c r="R113" s="58"/>
    </row>
    <row r="114" spans="1:18" ht="15.75" x14ac:dyDescent="0.25">
      <c r="A114" s="74">
        <v>8</v>
      </c>
      <c r="B114" s="122" t="s">
        <v>1132</v>
      </c>
      <c r="C114" s="122"/>
      <c r="D114" s="122"/>
      <c r="E114" s="122"/>
      <c r="F114" s="122"/>
      <c r="G114" s="122"/>
      <c r="H114" s="122"/>
      <c r="I114" s="122"/>
      <c r="J114" s="122"/>
      <c r="K114" s="122"/>
      <c r="L114" s="122"/>
      <c r="M114" s="122"/>
      <c r="N114" s="58"/>
      <c r="O114" s="58"/>
      <c r="P114" s="58"/>
      <c r="Q114" s="58"/>
      <c r="R114" s="58"/>
    </row>
    <row r="115" spans="1:18" ht="15.75" x14ac:dyDescent="0.25">
      <c r="A115" s="74">
        <v>9</v>
      </c>
      <c r="B115" s="122" t="s">
        <v>741</v>
      </c>
      <c r="C115" s="122"/>
      <c r="D115" s="122"/>
      <c r="E115" s="122"/>
      <c r="F115" s="122"/>
      <c r="G115" s="122"/>
      <c r="H115" s="122"/>
      <c r="I115" s="122"/>
      <c r="J115" s="122"/>
      <c r="K115" s="122"/>
      <c r="L115" s="122"/>
      <c r="M115" s="122"/>
      <c r="N115" s="58"/>
      <c r="O115" s="58"/>
      <c r="P115" s="58"/>
      <c r="Q115" s="58"/>
      <c r="R115" s="58"/>
    </row>
    <row r="116" spans="1:18" ht="15.75" x14ac:dyDescent="0.25">
      <c r="A116" s="74">
        <v>10</v>
      </c>
      <c r="B116" s="122" t="s">
        <v>1133</v>
      </c>
      <c r="C116" s="122"/>
      <c r="D116" s="122"/>
      <c r="E116" s="122"/>
      <c r="F116" s="122"/>
      <c r="G116" s="122"/>
      <c r="H116" s="122"/>
      <c r="I116" s="122"/>
      <c r="J116" s="122"/>
      <c r="K116" s="122"/>
      <c r="L116" s="122"/>
      <c r="M116" s="122"/>
      <c r="N116" s="58"/>
      <c r="O116" s="58"/>
      <c r="P116" s="58"/>
      <c r="Q116" s="58"/>
      <c r="R116" s="58"/>
    </row>
    <row r="117" spans="1:18" ht="15.75" x14ac:dyDescent="0.25">
      <c r="A117" s="27"/>
      <c r="B117" s="27"/>
      <c r="C117" s="27"/>
      <c r="D117" s="27"/>
      <c r="E117" s="27"/>
      <c r="F117" s="27"/>
      <c r="G117" s="27"/>
      <c r="H117" s="27"/>
      <c r="I117" s="27"/>
      <c r="J117" s="27"/>
      <c r="K117" s="27"/>
      <c r="L117" s="27"/>
      <c r="M117" s="27"/>
    </row>
    <row r="118" spans="1:18" ht="15.75" x14ac:dyDescent="0.25">
      <c r="A118" s="27"/>
      <c r="B118" s="124" t="s">
        <v>743</v>
      </c>
      <c r="C118" s="124"/>
      <c r="D118" s="124"/>
      <c r="E118" s="124"/>
      <c r="F118" s="124"/>
      <c r="G118" s="124"/>
      <c r="H118" s="124"/>
      <c r="I118" s="124"/>
      <c r="J118" s="124"/>
      <c r="K118" s="124"/>
      <c r="L118" s="124"/>
      <c r="M118" s="124"/>
    </row>
    <row r="119" spans="1:18" ht="39.75" customHeight="1" x14ac:dyDescent="0.25">
      <c r="A119" s="27"/>
      <c r="B119" s="125" t="s">
        <v>744</v>
      </c>
      <c r="C119" s="125"/>
      <c r="D119" s="125"/>
      <c r="E119" s="125"/>
      <c r="F119" s="125"/>
      <c r="G119" s="125"/>
      <c r="H119" s="125"/>
      <c r="I119" s="125"/>
      <c r="J119" s="125"/>
      <c r="K119" s="125"/>
      <c r="L119" s="125"/>
      <c r="M119" s="125"/>
    </row>
    <row r="120" spans="1:18" ht="40.5" customHeight="1" x14ac:dyDescent="0.25">
      <c r="A120" s="27"/>
      <c r="B120" s="125" t="s">
        <v>745</v>
      </c>
      <c r="C120" s="125"/>
      <c r="D120" s="125"/>
      <c r="E120" s="125"/>
      <c r="F120" s="125"/>
      <c r="G120" s="125"/>
      <c r="H120" s="125"/>
      <c r="I120" s="125"/>
      <c r="J120" s="125"/>
      <c r="K120" s="125"/>
      <c r="L120" s="125"/>
      <c r="M120" s="125"/>
    </row>
    <row r="121" spans="1:18" ht="15.75" x14ac:dyDescent="0.25">
      <c r="A121" s="27"/>
      <c r="B121" s="27"/>
      <c r="C121" s="27"/>
      <c r="D121" s="27"/>
      <c r="E121" s="27"/>
      <c r="F121" s="27"/>
      <c r="G121" s="27"/>
      <c r="H121" s="27"/>
      <c r="I121" s="27"/>
      <c r="J121" s="27"/>
      <c r="K121" s="27"/>
      <c r="L121" s="27"/>
      <c r="M121" s="27"/>
    </row>
    <row r="122" spans="1:18" ht="15.75" x14ac:dyDescent="0.25">
      <c r="A122" s="27"/>
      <c r="B122" s="27"/>
      <c r="C122" s="27"/>
      <c r="D122" s="27"/>
      <c r="E122" s="27"/>
      <c r="F122" s="27"/>
      <c r="G122" s="27"/>
      <c r="H122" s="27"/>
      <c r="I122" s="27"/>
      <c r="J122" s="27"/>
      <c r="K122" s="27"/>
      <c r="L122" s="27"/>
      <c r="M122" s="27"/>
    </row>
    <row r="124" spans="1:18" ht="15.75" x14ac:dyDescent="0.25">
      <c r="H124" s="126" t="s">
        <v>746</v>
      </c>
      <c r="I124" s="126"/>
      <c r="J124" s="126"/>
      <c r="K124" s="126"/>
    </row>
  </sheetData>
  <mergeCells count="16">
    <mergeCell ref="B110:M110"/>
    <mergeCell ref="A1:M1"/>
    <mergeCell ref="A2:M2"/>
    <mergeCell ref="B107:M107"/>
    <mergeCell ref="B108:M108"/>
    <mergeCell ref="B109:M109"/>
    <mergeCell ref="B118:M118"/>
    <mergeCell ref="B119:M119"/>
    <mergeCell ref="B120:M120"/>
    <mergeCell ref="H124:K124"/>
    <mergeCell ref="B111:M111"/>
    <mergeCell ref="B112:M112"/>
    <mergeCell ref="B113:M113"/>
    <mergeCell ref="B114:M114"/>
    <mergeCell ref="B115:M115"/>
    <mergeCell ref="B116:M116"/>
  </mergeCells>
  <pageMargins left="0.3" right="0.17" top="0.72" bottom="0.66" header="0.3" footer="0.37"/>
  <pageSetup paperSize="9" scale="74" fitToHeight="0" orientation="landscape" r:id="rId1"/>
  <headerFooter>
    <oddFooter>Page &amp;P of &amp;N</oddFooter>
  </headerFooter>
  <rowBreaks count="1" manualBreakCount="1">
    <brk id="94" max="14"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124"/>
  <sheetViews>
    <sheetView topLeftCell="A103" zoomScale="55" zoomScaleNormal="55" workbookViewId="0">
      <selection activeCell="G124" sqref="G124"/>
    </sheetView>
  </sheetViews>
  <sheetFormatPr defaultRowHeight="15" x14ac:dyDescent="0.25"/>
  <cols>
    <col min="1" max="1" width="4.5703125" style="99" customWidth="1"/>
    <col min="2" max="2" width="34.42578125" style="99" customWidth="1"/>
    <col min="3" max="3" width="15.28515625" style="99" customWidth="1"/>
    <col min="4" max="4" width="12.28515625" style="99" customWidth="1"/>
    <col min="5" max="5" width="27.7109375" style="99" customWidth="1"/>
    <col min="6" max="6" width="6.42578125" style="99" customWidth="1"/>
    <col min="7" max="7" width="13.7109375" style="99" customWidth="1"/>
    <col min="8" max="8" width="13" style="99" customWidth="1"/>
    <col min="9" max="10" width="11.42578125" style="99" customWidth="1"/>
    <col min="11" max="11" width="9.42578125" style="99" bestFit="1" customWidth="1"/>
    <col min="12" max="12" width="13.85546875" style="99" customWidth="1"/>
    <col min="13" max="13" width="12" style="99" customWidth="1"/>
    <col min="14" max="14" width="15.85546875" style="99" bestFit="1" customWidth="1"/>
    <col min="15" max="16" width="9.140625" style="99"/>
    <col min="17" max="17" width="10.28515625" style="99" bestFit="1" customWidth="1"/>
    <col min="18" max="16384" width="9.140625" style="99"/>
  </cols>
  <sheetData>
    <row r="1" spans="1:17" ht="18.75" x14ac:dyDescent="0.3">
      <c r="A1" s="118" t="s">
        <v>0</v>
      </c>
      <c r="B1" s="118"/>
      <c r="C1" s="118"/>
      <c r="D1" s="118"/>
      <c r="E1" s="118"/>
      <c r="F1" s="118"/>
      <c r="G1" s="118"/>
      <c r="H1" s="118"/>
      <c r="I1" s="118"/>
      <c r="J1" s="118"/>
      <c r="K1" s="118"/>
      <c r="L1" s="118"/>
      <c r="M1" s="118"/>
    </row>
    <row r="2" spans="1:17" ht="24" customHeight="1" x14ac:dyDescent="0.25">
      <c r="A2" s="119" t="s">
        <v>1134</v>
      </c>
      <c r="B2" s="119"/>
      <c r="C2" s="119"/>
      <c r="D2" s="119"/>
      <c r="E2" s="119"/>
      <c r="F2" s="119"/>
      <c r="G2" s="119"/>
      <c r="H2" s="119"/>
      <c r="I2" s="119"/>
      <c r="J2" s="119"/>
      <c r="K2" s="119"/>
      <c r="L2" s="119"/>
      <c r="M2" s="119"/>
    </row>
    <row r="3" spans="1:17" ht="180.75" customHeight="1" x14ac:dyDescent="0.25">
      <c r="A3" s="4" t="s">
        <v>1</v>
      </c>
      <c r="B3" s="4" t="s">
        <v>2</v>
      </c>
      <c r="C3" s="4" t="s">
        <v>107</v>
      </c>
      <c r="D3" s="4" t="s">
        <v>7</v>
      </c>
      <c r="E3" s="4" t="s">
        <v>319</v>
      </c>
      <c r="F3" s="22" t="s">
        <v>4</v>
      </c>
      <c r="G3" s="4" t="s">
        <v>5</v>
      </c>
      <c r="H3" s="4" t="s">
        <v>6</v>
      </c>
      <c r="I3" s="4" t="s">
        <v>3</v>
      </c>
      <c r="J3" s="4" t="s">
        <v>135</v>
      </c>
      <c r="K3" s="4" t="s">
        <v>320</v>
      </c>
      <c r="L3" s="4" t="s">
        <v>8</v>
      </c>
      <c r="M3" s="4" t="s">
        <v>1135</v>
      </c>
      <c r="N3" s="4" t="s">
        <v>322</v>
      </c>
      <c r="O3" s="4" t="s">
        <v>323</v>
      </c>
      <c r="P3" s="4" t="s">
        <v>324</v>
      </c>
      <c r="Q3" s="4" t="s">
        <v>749</v>
      </c>
    </row>
    <row r="4" spans="1:17" ht="15.75" x14ac:dyDescent="0.25">
      <c r="A4" s="47">
        <v>1</v>
      </c>
      <c r="B4" s="47">
        <v>2</v>
      </c>
      <c r="C4" s="47"/>
      <c r="D4" s="47">
        <v>3</v>
      </c>
      <c r="E4" s="47">
        <v>4</v>
      </c>
      <c r="F4" s="47">
        <v>5</v>
      </c>
      <c r="G4" s="47">
        <v>6</v>
      </c>
      <c r="H4" s="47">
        <v>7</v>
      </c>
      <c r="I4" s="47">
        <v>8</v>
      </c>
      <c r="J4" s="47">
        <v>8</v>
      </c>
      <c r="K4" s="47">
        <v>9</v>
      </c>
      <c r="L4" s="47">
        <v>10</v>
      </c>
      <c r="M4" s="47">
        <v>11</v>
      </c>
      <c r="N4" s="59">
        <v>12</v>
      </c>
      <c r="O4" s="95">
        <v>13</v>
      </c>
      <c r="P4" s="95">
        <v>14</v>
      </c>
      <c r="Q4" s="95">
        <v>15</v>
      </c>
    </row>
    <row r="5" spans="1:17" ht="31.5" x14ac:dyDescent="0.25">
      <c r="A5" s="4">
        <v>1</v>
      </c>
      <c r="B5" s="33" t="s">
        <v>1136</v>
      </c>
      <c r="C5" s="100">
        <v>54830</v>
      </c>
      <c r="D5" s="33">
        <v>900407708</v>
      </c>
      <c r="E5" s="34" t="s">
        <v>1137</v>
      </c>
      <c r="F5" s="35" t="s">
        <v>33</v>
      </c>
      <c r="G5" s="64">
        <f>(60+60+60+59+60+60+57+59+120)/600*100</f>
        <v>99.166666666666671</v>
      </c>
      <c r="H5" s="4" t="s">
        <v>328</v>
      </c>
      <c r="I5" s="4" t="s">
        <v>1138</v>
      </c>
      <c r="J5" s="4">
        <v>438</v>
      </c>
      <c r="K5" s="35">
        <v>94.92</v>
      </c>
      <c r="L5" s="35" t="s">
        <v>1139</v>
      </c>
      <c r="M5" s="4" t="s">
        <v>328</v>
      </c>
      <c r="N5" s="35">
        <v>9394227272</v>
      </c>
      <c r="O5" s="96">
        <v>80.595400000000012</v>
      </c>
      <c r="P5" s="96">
        <f>K5-O5</f>
        <v>14.32459999999999</v>
      </c>
      <c r="Q5" s="25">
        <f>P5*P5</f>
        <v>205.1941651599997</v>
      </c>
    </row>
    <row r="6" spans="1:17" ht="15.75" x14ac:dyDescent="0.25">
      <c r="A6" s="4">
        <v>2</v>
      </c>
      <c r="B6" s="33" t="s">
        <v>1140</v>
      </c>
      <c r="C6" s="100">
        <v>91378</v>
      </c>
      <c r="D6" s="33">
        <v>900507139</v>
      </c>
      <c r="E6" s="34" t="s">
        <v>1141</v>
      </c>
      <c r="F6" s="4" t="s">
        <v>39</v>
      </c>
      <c r="G6" s="61">
        <f>(60+60+60+60+58+60+59+60+120)/600*100</f>
        <v>99.5</v>
      </c>
      <c r="H6" s="4" t="s">
        <v>328</v>
      </c>
      <c r="I6" s="4">
        <v>15.101998999999999</v>
      </c>
      <c r="J6" s="4">
        <v>384</v>
      </c>
      <c r="K6" s="4">
        <v>91.56</v>
      </c>
      <c r="L6" s="4" t="s">
        <v>1142</v>
      </c>
      <c r="M6" s="4" t="s">
        <v>328</v>
      </c>
      <c r="N6" s="35">
        <v>9247488765</v>
      </c>
      <c r="O6" s="96">
        <v>80.595400000000012</v>
      </c>
      <c r="P6" s="96">
        <f t="shared" ref="P6:P69" si="0">K6-O6</f>
        <v>10.96459999999999</v>
      </c>
      <c r="Q6" s="25">
        <f t="shared" ref="Q6:Q69" si="1">P6*P6</f>
        <v>120.22245315999979</v>
      </c>
    </row>
    <row r="7" spans="1:17" ht="31.5" x14ac:dyDescent="0.25">
      <c r="A7" s="35">
        <v>3</v>
      </c>
      <c r="B7" s="33" t="s">
        <v>1143</v>
      </c>
      <c r="C7" s="100">
        <v>110422</v>
      </c>
      <c r="D7" s="33">
        <v>900205696</v>
      </c>
      <c r="E7" s="34" t="s">
        <v>1144</v>
      </c>
      <c r="F7" s="4" t="s">
        <v>1145</v>
      </c>
      <c r="G7" s="61">
        <f>(60+60+60+55+50+60+48+53+28+90)/600*100</f>
        <v>94</v>
      </c>
      <c r="H7" s="4" t="s">
        <v>328</v>
      </c>
      <c r="I7" s="4" t="s">
        <v>1146</v>
      </c>
      <c r="J7" s="4">
        <v>361</v>
      </c>
      <c r="K7" s="4">
        <v>89.81</v>
      </c>
      <c r="L7" s="4" t="s">
        <v>1139</v>
      </c>
      <c r="M7" s="4" t="s">
        <v>328</v>
      </c>
      <c r="N7" s="35">
        <v>9666119052</v>
      </c>
      <c r="O7" s="96">
        <v>80.595400000000012</v>
      </c>
      <c r="P7" s="96">
        <f t="shared" si="0"/>
        <v>9.2145999999999901</v>
      </c>
      <c r="Q7" s="25">
        <f t="shared" si="1"/>
        <v>84.908853159999822</v>
      </c>
    </row>
    <row r="8" spans="1:17" ht="15.75" x14ac:dyDescent="0.25">
      <c r="A8" s="69">
        <v>4</v>
      </c>
      <c r="B8" s="33" t="s">
        <v>1147</v>
      </c>
      <c r="C8" s="100">
        <v>81026</v>
      </c>
      <c r="D8" s="33">
        <v>900505433</v>
      </c>
      <c r="E8" s="34" t="s">
        <v>787</v>
      </c>
      <c r="F8" s="35" t="s">
        <v>39</v>
      </c>
      <c r="G8" s="64">
        <f>(60+56+52+53+55+53+52+55+28+28+28+28)/600*100</f>
        <v>91.333333333333329</v>
      </c>
      <c r="H8" s="4" t="s">
        <v>328</v>
      </c>
      <c r="I8" s="4" t="s">
        <v>1148</v>
      </c>
      <c r="J8" s="4">
        <v>398</v>
      </c>
      <c r="K8" s="35">
        <v>92.54</v>
      </c>
      <c r="L8" s="35" t="s">
        <v>1149</v>
      </c>
      <c r="M8" s="4" t="s">
        <v>328</v>
      </c>
      <c r="N8" s="35">
        <v>9291245158</v>
      </c>
      <c r="O8" s="96">
        <v>80.595400000000012</v>
      </c>
      <c r="P8" s="96">
        <f t="shared" si="0"/>
        <v>11.944599999999994</v>
      </c>
      <c r="Q8" s="25">
        <f t="shared" si="1"/>
        <v>142.67346915999985</v>
      </c>
    </row>
    <row r="9" spans="1:17" ht="31.5" x14ac:dyDescent="0.25">
      <c r="A9" s="4">
        <v>5</v>
      </c>
      <c r="B9" s="33" t="s">
        <v>1150</v>
      </c>
      <c r="C9" s="100">
        <v>80950</v>
      </c>
      <c r="D9" s="33">
        <v>900509577</v>
      </c>
      <c r="E9" s="34" t="s">
        <v>1151</v>
      </c>
      <c r="F9" s="35" t="s">
        <v>33</v>
      </c>
      <c r="G9" s="64">
        <f>(53+59+57+47+57+55+51+48+120)/600*100</f>
        <v>91.166666666666657</v>
      </c>
      <c r="H9" s="4" t="s">
        <v>328</v>
      </c>
      <c r="I9" s="4" t="s">
        <v>1152</v>
      </c>
      <c r="J9" s="4">
        <v>398</v>
      </c>
      <c r="K9" s="35">
        <v>92.54</v>
      </c>
      <c r="L9" s="35" t="s">
        <v>1149</v>
      </c>
      <c r="M9" s="4" t="s">
        <v>328</v>
      </c>
      <c r="N9" s="35">
        <v>9440977337</v>
      </c>
      <c r="O9" s="96">
        <v>80.595400000000012</v>
      </c>
      <c r="P9" s="96">
        <f t="shared" si="0"/>
        <v>11.944599999999994</v>
      </c>
      <c r="Q9" s="25">
        <f t="shared" si="1"/>
        <v>142.67346915999985</v>
      </c>
    </row>
    <row r="10" spans="1:17" ht="15.75" x14ac:dyDescent="0.25">
      <c r="A10" s="35">
        <v>6</v>
      </c>
      <c r="B10" s="33" t="s">
        <v>1153</v>
      </c>
      <c r="C10" s="100">
        <v>74485</v>
      </c>
      <c r="D10" s="33">
        <v>900505452</v>
      </c>
      <c r="E10" s="34" t="s">
        <v>1154</v>
      </c>
      <c r="F10" s="35" t="s">
        <v>33</v>
      </c>
      <c r="G10" s="61">
        <f>(60+60+57+46+51+56+52+58+120)/600*100</f>
        <v>93.333333333333329</v>
      </c>
      <c r="H10" s="4" t="s">
        <v>328</v>
      </c>
      <c r="I10" s="4" t="s">
        <v>921</v>
      </c>
      <c r="J10" s="4">
        <v>407</v>
      </c>
      <c r="K10" s="4">
        <v>93.11</v>
      </c>
      <c r="L10" s="35" t="s">
        <v>1149</v>
      </c>
      <c r="M10" s="4" t="s">
        <v>328</v>
      </c>
      <c r="N10" s="35">
        <v>9441342377</v>
      </c>
      <c r="O10" s="96">
        <v>80.595400000000012</v>
      </c>
      <c r="P10" s="96">
        <f t="shared" si="0"/>
        <v>12.514599999999987</v>
      </c>
      <c r="Q10" s="25">
        <f t="shared" si="1"/>
        <v>156.61521315999968</v>
      </c>
    </row>
    <row r="11" spans="1:17" ht="31.5" x14ac:dyDescent="0.25">
      <c r="A11" s="69">
        <v>7</v>
      </c>
      <c r="B11" s="33" t="s">
        <v>1155</v>
      </c>
      <c r="C11" s="100">
        <v>68440</v>
      </c>
      <c r="D11" s="33">
        <v>900414211</v>
      </c>
      <c r="E11" s="34" t="s">
        <v>1156</v>
      </c>
      <c r="F11" s="35" t="s">
        <v>33</v>
      </c>
      <c r="G11" s="64">
        <f>(60+60+57+60+56+59+45+56+120)/600*100</f>
        <v>95.5</v>
      </c>
      <c r="H11" s="4" t="s">
        <v>328</v>
      </c>
      <c r="I11" s="4" t="s">
        <v>1157</v>
      </c>
      <c r="J11" s="4">
        <v>416</v>
      </c>
      <c r="K11" s="35">
        <v>93.67</v>
      </c>
      <c r="L11" s="35" t="s">
        <v>1149</v>
      </c>
      <c r="M11" s="4" t="s">
        <v>328</v>
      </c>
      <c r="N11" s="35">
        <v>9963763859</v>
      </c>
      <c r="O11" s="96">
        <v>80.595400000000012</v>
      </c>
      <c r="P11" s="96">
        <f t="shared" si="0"/>
        <v>13.07459999999999</v>
      </c>
      <c r="Q11" s="25">
        <f t="shared" si="1"/>
        <v>170.94516515999973</v>
      </c>
    </row>
    <row r="12" spans="1:17" ht="31.5" x14ac:dyDescent="0.25">
      <c r="A12" s="4">
        <v>8</v>
      </c>
      <c r="B12" s="33" t="s">
        <v>1158</v>
      </c>
      <c r="C12" s="100">
        <v>75836</v>
      </c>
      <c r="D12" s="33">
        <v>900500101</v>
      </c>
      <c r="E12" s="34" t="s">
        <v>1159</v>
      </c>
      <c r="F12" s="35" t="s">
        <v>33</v>
      </c>
      <c r="G12" s="64">
        <f>(60+60+60+60+59+60+60+60+90+28)/600*100</f>
        <v>99.5</v>
      </c>
      <c r="H12" s="4" t="s">
        <v>328</v>
      </c>
      <c r="I12" s="4">
        <v>24.101998999999999</v>
      </c>
      <c r="J12" s="4">
        <v>405</v>
      </c>
      <c r="K12" s="35">
        <v>92.98</v>
      </c>
      <c r="L12" s="35" t="s">
        <v>1149</v>
      </c>
      <c r="M12" s="4" t="s">
        <v>328</v>
      </c>
      <c r="N12" s="35">
        <v>9966722111</v>
      </c>
      <c r="O12" s="96">
        <v>80.595400000000012</v>
      </c>
      <c r="P12" s="96">
        <f t="shared" si="0"/>
        <v>12.384599999999992</v>
      </c>
      <c r="Q12" s="25">
        <f t="shared" si="1"/>
        <v>153.3783171599998</v>
      </c>
    </row>
    <row r="13" spans="1:17" ht="15.75" x14ac:dyDescent="0.25">
      <c r="A13" s="35">
        <v>9</v>
      </c>
      <c r="B13" s="89" t="s">
        <v>1160</v>
      </c>
      <c r="C13" s="100">
        <v>91956</v>
      </c>
      <c r="D13" s="33">
        <v>900502830</v>
      </c>
      <c r="E13" s="34" t="s">
        <v>1161</v>
      </c>
      <c r="F13" s="35" t="s">
        <v>43</v>
      </c>
      <c r="G13" s="64">
        <f>(54+55+60+47+59+56+55+42+120)/600*100</f>
        <v>91.333333333333329</v>
      </c>
      <c r="H13" s="4" t="s">
        <v>328</v>
      </c>
      <c r="I13" s="4" t="s">
        <v>1162</v>
      </c>
      <c r="J13" s="4">
        <v>384</v>
      </c>
      <c r="K13" s="35">
        <v>91.55</v>
      </c>
      <c r="L13" s="35" t="s">
        <v>1149</v>
      </c>
      <c r="M13" s="4" t="s">
        <v>328</v>
      </c>
      <c r="N13" s="35">
        <v>9247488765</v>
      </c>
      <c r="O13" s="96">
        <v>80.595400000000012</v>
      </c>
      <c r="P13" s="96">
        <f t="shared" si="0"/>
        <v>10.954599999999985</v>
      </c>
      <c r="Q13" s="25">
        <f t="shared" si="1"/>
        <v>120.00326115999967</v>
      </c>
    </row>
    <row r="14" spans="1:17" ht="15.75" x14ac:dyDescent="0.25">
      <c r="A14" s="69">
        <v>10</v>
      </c>
      <c r="B14" s="33" t="s">
        <v>1163</v>
      </c>
      <c r="C14" s="100">
        <v>135885</v>
      </c>
      <c r="D14" s="33">
        <v>909201215</v>
      </c>
      <c r="E14" s="34" t="s">
        <v>514</v>
      </c>
      <c r="F14" s="4" t="s">
        <v>37</v>
      </c>
      <c r="G14" s="61">
        <f>(49+53+47+28+40+50+43+37+29+29+29+28)/600*100</f>
        <v>77</v>
      </c>
      <c r="H14" s="4" t="s">
        <v>328</v>
      </c>
      <c r="I14" s="4" t="s">
        <v>1164</v>
      </c>
      <c r="J14" s="4">
        <v>334</v>
      </c>
      <c r="K14" s="4">
        <v>87.45</v>
      </c>
      <c r="L14" s="4" t="s">
        <v>1142</v>
      </c>
      <c r="M14" s="4" t="s">
        <v>328</v>
      </c>
      <c r="N14" s="35">
        <v>9440814861</v>
      </c>
      <c r="O14" s="96">
        <v>80.595400000000012</v>
      </c>
      <c r="P14" s="96">
        <f t="shared" si="0"/>
        <v>6.8545999999999907</v>
      </c>
      <c r="Q14" s="25">
        <f t="shared" si="1"/>
        <v>46.985541159999876</v>
      </c>
    </row>
    <row r="15" spans="1:17" ht="15.75" x14ac:dyDescent="0.25">
      <c r="A15" s="4">
        <v>11</v>
      </c>
      <c r="B15" s="33" t="s">
        <v>1165</v>
      </c>
      <c r="C15" s="100">
        <v>154032</v>
      </c>
      <c r="D15" s="33">
        <v>900406334</v>
      </c>
      <c r="E15" s="34" t="s">
        <v>776</v>
      </c>
      <c r="F15" s="35" t="s">
        <v>37</v>
      </c>
      <c r="G15" s="64">
        <f>(60+60+60+57+60+60+60+55+120)/600*100</f>
        <v>98.666666666666671</v>
      </c>
      <c r="H15" s="4" t="s">
        <v>328</v>
      </c>
      <c r="I15" s="4" t="s">
        <v>1166</v>
      </c>
      <c r="J15" s="4">
        <v>317</v>
      </c>
      <c r="K15" s="35">
        <v>85.79</v>
      </c>
      <c r="L15" s="4" t="s">
        <v>1142</v>
      </c>
      <c r="M15" s="4" t="s">
        <v>328</v>
      </c>
      <c r="N15" s="35">
        <v>9849188552</v>
      </c>
      <c r="O15" s="96">
        <v>80.595400000000012</v>
      </c>
      <c r="P15" s="96">
        <f t="shared" si="0"/>
        <v>5.1945999999999941</v>
      </c>
      <c r="Q15" s="25">
        <f t="shared" si="1"/>
        <v>26.983869159999937</v>
      </c>
    </row>
    <row r="16" spans="1:17" ht="31.5" x14ac:dyDescent="0.25">
      <c r="A16" s="35">
        <v>12</v>
      </c>
      <c r="B16" s="33" t="s">
        <v>1167</v>
      </c>
      <c r="C16" s="100">
        <v>147834</v>
      </c>
      <c r="D16" s="33">
        <v>900501378</v>
      </c>
      <c r="E16" s="34" t="s">
        <v>1168</v>
      </c>
      <c r="F16" s="35" t="s">
        <v>37</v>
      </c>
      <c r="G16" s="64">
        <f>(55+53+58+49+60+58+49+29+29+29+28+30)/600*100</f>
        <v>87.833333333333329</v>
      </c>
      <c r="H16" s="4" t="s">
        <v>328</v>
      </c>
      <c r="I16" s="4" t="s">
        <v>1169</v>
      </c>
      <c r="J16" s="4">
        <v>323</v>
      </c>
      <c r="K16" s="35">
        <v>86.4</v>
      </c>
      <c r="L16" s="35" t="s">
        <v>1149</v>
      </c>
      <c r="M16" s="4" t="s">
        <v>328</v>
      </c>
      <c r="N16" s="35">
        <v>9492389670</v>
      </c>
      <c r="O16" s="96">
        <v>80.595400000000012</v>
      </c>
      <c r="P16" s="96">
        <f t="shared" si="0"/>
        <v>5.8045999999999935</v>
      </c>
      <c r="Q16" s="25">
        <f t="shared" si="1"/>
        <v>33.693381159999923</v>
      </c>
    </row>
    <row r="17" spans="1:17" ht="31.5" x14ac:dyDescent="0.25">
      <c r="A17" s="69">
        <v>13</v>
      </c>
      <c r="B17" s="33" t="s">
        <v>1170</v>
      </c>
      <c r="C17" s="100">
        <v>80804</v>
      </c>
      <c r="D17" s="33">
        <v>900411686</v>
      </c>
      <c r="E17" s="34" t="s">
        <v>481</v>
      </c>
      <c r="F17" s="35" t="s">
        <v>41</v>
      </c>
      <c r="G17" s="64">
        <f>(57+59+60+57+60+60+51+54+120)/600*100</f>
        <v>96.333333333333343</v>
      </c>
      <c r="H17" s="4" t="s">
        <v>328</v>
      </c>
      <c r="I17" s="4" t="s">
        <v>1171</v>
      </c>
      <c r="J17" s="4">
        <v>398</v>
      </c>
      <c r="K17" s="35">
        <v>92.53</v>
      </c>
      <c r="L17" s="35" t="s">
        <v>1149</v>
      </c>
      <c r="M17" s="4" t="s">
        <v>328</v>
      </c>
      <c r="N17" s="35">
        <v>9849408082</v>
      </c>
      <c r="O17" s="96">
        <v>80.595400000000012</v>
      </c>
      <c r="P17" s="96">
        <f t="shared" si="0"/>
        <v>11.934599999999989</v>
      </c>
      <c r="Q17" s="25">
        <f t="shared" si="1"/>
        <v>142.43467715999975</v>
      </c>
    </row>
    <row r="18" spans="1:17" ht="31.5" x14ac:dyDescent="0.25">
      <c r="A18" s="4">
        <v>14</v>
      </c>
      <c r="B18" s="33" t="s">
        <v>1172</v>
      </c>
      <c r="C18" s="100">
        <v>75759</v>
      </c>
      <c r="D18" s="33">
        <v>900200944</v>
      </c>
      <c r="E18" s="34" t="s">
        <v>1173</v>
      </c>
      <c r="F18" s="35" t="s">
        <v>33</v>
      </c>
      <c r="G18" s="64">
        <f>(60+50+54+56+59+51+54+51+29+27+30+26)/600*100</f>
        <v>91.166666666666657</v>
      </c>
      <c r="H18" s="4" t="s">
        <v>328</v>
      </c>
      <c r="I18" s="4" t="s">
        <v>1174</v>
      </c>
      <c r="J18" s="4">
        <v>406</v>
      </c>
      <c r="K18" s="35">
        <v>93.05</v>
      </c>
      <c r="L18" s="35" t="s">
        <v>1149</v>
      </c>
      <c r="M18" s="4" t="s">
        <v>328</v>
      </c>
      <c r="N18" s="35">
        <v>9948858875</v>
      </c>
      <c r="O18" s="96">
        <v>80.595400000000012</v>
      </c>
      <c r="P18" s="96">
        <f t="shared" si="0"/>
        <v>12.454599999999985</v>
      </c>
      <c r="Q18" s="25">
        <f t="shared" si="1"/>
        <v>155.11706115999962</v>
      </c>
    </row>
    <row r="19" spans="1:17" ht="15.75" x14ac:dyDescent="0.25">
      <c r="A19" s="35">
        <v>15</v>
      </c>
      <c r="B19" s="33" t="s">
        <v>1175</v>
      </c>
      <c r="C19" s="100">
        <v>213824</v>
      </c>
      <c r="D19" s="33">
        <v>900402089</v>
      </c>
      <c r="E19" s="34" t="s">
        <v>575</v>
      </c>
      <c r="F19" s="4" t="s">
        <v>46</v>
      </c>
      <c r="G19" s="61">
        <f>(52+58+58+51+55+46+43+44+28+30+26+28)/600*100</f>
        <v>86.5</v>
      </c>
      <c r="H19" s="4" t="s">
        <v>328</v>
      </c>
      <c r="I19" s="4" t="s">
        <v>1176</v>
      </c>
      <c r="J19" s="4">
        <v>270</v>
      </c>
      <c r="K19" s="4">
        <v>80.27</v>
      </c>
      <c r="L19" s="4" t="s">
        <v>1139</v>
      </c>
      <c r="M19" s="4" t="s">
        <v>328</v>
      </c>
      <c r="N19" s="35">
        <v>7661868591</v>
      </c>
      <c r="O19" s="96">
        <v>80.595400000000012</v>
      </c>
      <c r="P19" s="96">
        <f t="shared" si="0"/>
        <v>-0.32540000000001612</v>
      </c>
      <c r="Q19" s="25">
        <f t="shared" si="1"/>
        <v>0.1058851600000105</v>
      </c>
    </row>
    <row r="20" spans="1:17" ht="15.75" x14ac:dyDescent="0.25">
      <c r="A20" s="69">
        <v>16</v>
      </c>
      <c r="B20" s="33" t="s">
        <v>1177</v>
      </c>
      <c r="C20" s="100">
        <v>69962</v>
      </c>
      <c r="D20" s="33">
        <v>900506576</v>
      </c>
      <c r="E20" s="34" t="s">
        <v>1178</v>
      </c>
      <c r="F20" s="35" t="s">
        <v>33</v>
      </c>
      <c r="G20" s="64">
        <f>(59+60+54+55+54+55+60+56+120)/600*100</f>
        <v>95.5</v>
      </c>
      <c r="H20" s="4" t="s">
        <v>328</v>
      </c>
      <c r="I20" s="4" t="s">
        <v>1179</v>
      </c>
      <c r="J20" s="4">
        <v>414</v>
      </c>
      <c r="K20" s="35">
        <v>93.54</v>
      </c>
      <c r="L20" s="35" t="s">
        <v>1139</v>
      </c>
      <c r="M20" s="4" t="s">
        <v>328</v>
      </c>
      <c r="N20" s="35">
        <v>9908791187</v>
      </c>
      <c r="O20" s="96">
        <v>80.595400000000012</v>
      </c>
      <c r="P20" s="96">
        <f t="shared" si="0"/>
        <v>12.944599999999994</v>
      </c>
      <c r="Q20" s="25">
        <f t="shared" si="1"/>
        <v>167.56266915999984</v>
      </c>
    </row>
    <row r="21" spans="1:17" ht="31.5" x14ac:dyDescent="0.25">
      <c r="A21" s="4">
        <v>17</v>
      </c>
      <c r="B21" s="33" t="s">
        <v>1180</v>
      </c>
      <c r="C21" s="100">
        <v>87919</v>
      </c>
      <c r="D21" s="33">
        <v>900501288</v>
      </c>
      <c r="E21" s="34" t="s">
        <v>1181</v>
      </c>
      <c r="F21" s="4" t="s">
        <v>43</v>
      </c>
      <c r="G21" s="61">
        <f>(57+57+58+52+60+60+50+60+29+29+30+29)/600*100</f>
        <v>95.166666666666671</v>
      </c>
      <c r="H21" s="4" t="s">
        <v>328</v>
      </c>
      <c r="I21" s="4" t="s">
        <v>1182</v>
      </c>
      <c r="J21" s="4">
        <v>389</v>
      </c>
      <c r="K21" s="4">
        <v>91.9</v>
      </c>
      <c r="L21" s="35" t="s">
        <v>1139</v>
      </c>
      <c r="M21" s="4" t="s">
        <v>328</v>
      </c>
      <c r="N21" s="35">
        <v>9948586028</v>
      </c>
      <c r="O21" s="96">
        <v>80.595400000000012</v>
      </c>
      <c r="P21" s="96">
        <f t="shared" si="0"/>
        <v>11.304599999999994</v>
      </c>
      <c r="Q21" s="25">
        <f t="shared" si="1"/>
        <v>127.79398115999986</v>
      </c>
    </row>
    <row r="22" spans="1:17" ht="31.5" x14ac:dyDescent="0.25">
      <c r="A22" s="35">
        <v>18</v>
      </c>
      <c r="B22" s="33" t="s">
        <v>1183</v>
      </c>
      <c r="C22" s="100">
        <v>86187</v>
      </c>
      <c r="D22" s="33">
        <v>900201412</v>
      </c>
      <c r="E22" s="34" t="s">
        <v>338</v>
      </c>
      <c r="F22" s="4" t="s">
        <v>41</v>
      </c>
      <c r="G22" s="61">
        <f>(57+59+56+50+60+60+52+55+120)/600*100</f>
        <v>94.833333333333343</v>
      </c>
      <c r="H22" s="4" t="s">
        <v>328</v>
      </c>
      <c r="I22" s="4" t="s">
        <v>1184</v>
      </c>
      <c r="J22" s="4">
        <v>391</v>
      </c>
      <c r="K22" s="4">
        <v>92.05</v>
      </c>
      <c r="L22" s="35" t="s">
        <v>1139</v>
      </c>
      <c r="M22" s="4" t="s">
        <v>328</v>
      </c>
      <c r="N22" s="35">
        <v>9441193724</v>
      </c>
      <c r="O22" s="96">
        <v>80.595400000000012</v>
      </c>
      <c r="P22" s="96">
        <f t="shared" si="0"/>
        <v>11.454599999999985</v>
      </c>
      <c r="Q22" s="25">
        <f t="shared" si="1"/>
        <v>131.20786115999965</v>
      </c>
    </row>
    <row r="23" spans="1:17" ht="15.75" x14ac:dyDescent="0.25">
      <c r="A23" s="69">
        <v>19</v>
      </c>
      <c r="B23" s="33" t="s">
        <v>1185</v>
      </c>
      <c r="C23" s="100">
        <v>123395</v>
      </c>
      <c r="D23" s="33">
        <v>909137973</v>
      </c>
      <c r="E23" s="34" t="s">
        <v>1186</v>
      </c>
      <c r="F23" s="4" t="s">
        <v>41</v>
      </c>
      <c r="G23" s="61">
        <f>(60+58+58+57+60+56+51+46+30+30+28+30)/600*100</f>
        <v>94</v>
      </c>
      <c r="H23" s="4" t="s">
        <v>328</v>
      </c>
      <c r="I23" s="4" t="s">
        <v>1187</v>
      </c>
      <c r="J23" s="4">
        <v>347</v>
      </c>
      <c r="K23" s="4">
        <v>88.69</v>
      </c>
      <c r="L23" s="35" t="s">
        <v>1139</v>
      </c>
      <c r="M23" s="4" t="s">
        <v>328</v>
      </c>
      <c r="N23" s="35">
        <v>9542795971</v>
      </c>
      <c r="O23" s="96">
        <v>80.595400000000012</v>
      </c>
      <c r="P23" s="96">
        <f t="shared" si="0"/>
        <v>8.0945999999999856</v>
      </c>
      <c r="Q23" s="25">
        <f t="shared" si="1"/>
        <v>65.52254915999977</v>
      </c>
    </row>
    <row r="24" spans="1:17" ht="15.75" x14ac:dyDescent="0.25">
      <c r="A24" s="4">
        <v>20</v>
      </c>
      <c r="B24" s="33" t="s">
        <v>1188</v>
      </c>
      <c r="C24" s="100">
        <v>76565</v>
      </c>
      <c r="D24" s="33">
        <v>900415275</v>
      </c>
      <c r="E24" s="34" t="s">
        <v>1189</v>
      </c>
      <c r="F24" s="4" t="s">
        <v>33</v>
      </c>
      <c r="G24" s="61">
        <f>(60+58+58+58+60+59+56+59+120)/600*100</f>
        <v>98</v>
      </c>
      <c r="H24" s="4" t="s">
        <v>328</v>
      </c>
      <c r="I24" s="4" t="s">
        <v>1190</v>
      </c>
      <c r="J24" s="4">
        <v>404</v>
      </c>
      <c r="K24" s="4">
        <v>92.92</v>
      </c>
      <c r="L24" s="35" t="s">
        <v>1139</v>
      </c>
      <c r="M24" s="4" t="s">
        <v>328</v>
      </c>
      <c r="N24" s="35">
        <v>9849333457</v>
      </c>
      <c r="O24" s="96">
        <v>80.595400000000012</v>
      </c>
      <c r="P24" s="96">
        <f t="shared" si="0"/>
        <v>12.32459999999999</v>
      </c>
      <c r="Q24" s="25">
        <f t="shared" si="1"/>
        <v>151.89576515999974</v>
      </c>
    </row>
    <row r="25" spans="1:17" ht="15.75" x14ac:dyDescent="0.25">
      <c r="A25" s="35">
        <v>21</v>
      </c>
      <c r="B25" s="33" t="s">
        <v>1191</v>
      </c>
      <c r="C25" s="100">
        <v>122314</v>
      </c>
      <c r="D25" s="33">
        <v>909207206</v>
      </c>
      <c r="E25" s="34" t="s">
        <v>1192</v>
      </c>
      <c r="F25" s="35" t="s">
        <v>46</v>
      </c>
      <c r="G25" s="61">
        <f>(54+54+59+51+53+58+48+40+30+29+29+29)/600*100</f>
        <v>89</v>
      </c>
      <c r="H25" s="4" t="s">
        <v>328</v>
      </c>
      <c r="I25" s="4" t="s">
        <v>1193</v>
      </c>
      <c r="J25" s="4">
        <v>348</v>
      </c>
      <c r="K25" s="4">
        <v>88.71</v>
      </c>
      <c r="L25" s="35" t="s">
        <v>1139</v>
      </c>
      <c r="M25" s="4" t="s">
        <v>328</v>
      </c>
      <c r="N25" s="35">
        <v>9951195036</v>
      </c>
      <c r="O25" s="96">
        <v>80.595400000000012</v>
      </c>
      <c r="P25" s="96">
        <f t="shared" si="0"/>
        <v>8.1145999999999816</v>
      </c>
      <c r="Q25" s="25">
        <f t="shared" si="1"/>
        <v>65.846733159999701</v>
      </c>
    </row>
    <row r="26" spans="1:17" ht="31.5" x14ac:dyDescent="0.25">
      <c r="A26" s="69">
        <v>22</v>
      </c>
      <c r="B26" s="33" t="s">
        <v>1194</v>
      </c>
      <c r="C26" s="100">
        <v>65375</v>
      </c>
      <c r="D26" s="33">
        <v>900505772</v>
      </c>
      <c r="E26" s="34" t="s">
        <v>1195</v>
      </c>
      <c r="F26" s="4" t="s">
        <v>33</v>
      </c>
      <c r="G26" s="61">
        <f>(58+59+60+51+54+51+47+53+30+29+29+29)/600*100</f>
        <v>91.666666666666657</v>
      </c>
      <c r="H26" s="4" t="s">
        <v>328</v>
      </c>
      <c r="I26" s="4" t="s">
        <v>1196</v>
      </c>
      <c r="J26" s="4">
        <v>421</v>
      </c>
      <c r="K26" s="4">
        <v>93.96</v>
      </c>
      <c r="L26" s="35" t="s">
        <v>1139</v>
      </c>
      <c r="M26" s="4" t="s">
        <v>328</v>
      </c>
      <c r="N26" s="35">
        <v>7396602091</v>
      </c>
      <c r="O26" s="96">
        <v>80.595400000000012</v>
      </c>
      <c r="P26" s="96">
        <f t="shared" si="0"/>
        <v>13.364599999999982</v>
      </c>
      <c r="Q26" s="25">
        <f t="shared" si="1"/>
        <v>178.61253315999951</v>
      </c>
    </row>
    <row r="27" spans="1:17" ht="31.5" x14ac:dyDescent="0.25">
      <c r="A27" s="4">
        <v>23</v>
      </c>
      <c r="B27" s="33" t="s">
        <v>1197</v>
      </c>
      <c r="C27" s="100">
        <v>79274</v>
      </c>
      <c r="D27" s="33">
        <v>900200558</v>
      </c>
      <c r="E27" s="34" t="s">
        <v>1198</v>
      </c>
      <c r="F27" s="4" t="s">
        <v>33</v>
      </c>
      <c r="G27" s="61">
        <f>(57+57+60+55+60+57+40+46+90+29)/600*100</f>
        <v>91.833333333333329</v>
      </c>
      <c r="H27" s="4" t="s">
        <v>328</v>
      </c>
      <c r="I27" s="4" t="s">
        <v>1199</v>
      </c>
      <c r="J27" s="4">
        <v>400</v>
      </c>
      <c r="K27" s="4">
        <v>92.66</v>
      </c>
      <c r="L27" s="4" t="s">
        <v>1149</v>
      </c>
      <c r="M27" s="4" t="s">
        <v>328</v>
      </c>
      <c r="N27" s="35">
        <v>9704988326</v>
      </c>
      <c r="O27" s="96">
        <v>80.595400000000012</v>
      </c>
      <c r="P27" s="96">
        <f t="shared" si="0"/>
        <v>12.064599999999984</v>
      </c>
      <c r="Q27" s="25">
        <f t="shared" si="1"/>
        <v>145.55457315999962</v>
      </c>
    </row>
    <row r="28" spans="1:17" ht="31.5" x14ac:dyDescent="0.25">
      <c r="A28" s="35">
        <v>24</v>
      </c>
      <c r="B28" s="33" t="s">
        <v>1200</v>
      </c>
      <c r="C28" s="100">
        <v>76870</v>
      </c>
      <c r="D28" s="33">
        <v>900200156</v>
      </c>
      <c r="E28" s="34" t="s">
        <v>1201</v>
      </c>
      <c r="F28" s="4" t="s">
        <v>33</v>
      </c>
      <c r="G28" s="61">
        <f>(240+59+60+56+57+120)/600*100</f>
        <v>98.666666666666671</v>
      </c>
      <c r="H28" s="4" t="s">
        <v>328</v>
      </c>
      <c r="I28" s="4" t="s">
        <v>1202</v>
      </c>
      <c r="J28" s="4">
        <v>404</v>
      </c>
      <c r="K28" s="4">
        <v>92.92</v>
      </c>
      <c r="L28" s="4" t="s">
        <v>1149</v>
      </c>
      <c r="M28" s="4" t="s">
        <v>328</v>
      </c>
      <c r="N28" s="35">
        <v>9247537449</v>
      </c>
      <c r="O28" s="96">
        <v>80.595400000000012</v>
      </c>
      <c r="P28" s="96">
        <f t="shared" si="0"/>
        <v>12.32459999999999</v>
      </c>
      <c r="Q28" s="25">
        <f t="shared" si="1"/>
        <v>151.89576515999974</v>
      </c>
    </row>
    <row r="29" spans="1:17" ht="15.75" x14ac:dyDescent="0.25">
      <c r="A29" s="69">
        <v>25</v>
      </c>
      <c r="B29" s="33" t="s">
        <v>1203</v>
      </c>
      <c r="C29" s="100">
        <v>124442</v>
      </c>
      <c r="D29" s="33">
        <v>900413486</v>
      </c>
      <c r="E29" s="34" t="s">
        <v>575</v>
      </c>
      <c r="F29" s="4" t="s">
        <v>41</v>
      </c>
      <c r="G29" s="61">
        <f>(60+59+55+58+59+57+57+56+120)/600*100</f>
        <v>96.833333333333343</v>
      </c>
      <c r="H29" s="4" t="s">
        <v>328</v>
      </c>
      <c r="I29" s="4" t="s">
        <v>1204</v>
      </c>
      <c r="J29" s="4">
        <v>346</v>
      </c>
      <c r="K29" s="4">
        <v>88.54</v>
      </c>
      <c r="L29" s="4" t="s">
        <v>1142</v>
      </c>
      <c r="M29" s="4" t="s">
        <v>328</v>
      </c>
      <c r="N29" s="35">
        <v>9848251941</v>
      </c>
      <c r="O29" s="96">
        <v>80.595400000000012</v>
      </c>
      <c r="P29" s="96">
        <f t="shared" si="0"/>
        <v>7.9445999999999941</v>
      </c>
      <c r="Q29" s="25">
        <f t="shared" si="1"/>
        <v>63.116669159999908</v>
      </c>
    </row>
    <row r="30" spans="1:17" ht="15.75" x14ac:dyDescent="0.25">
      <c r="A30" s="4">
        <v>26</v>
      </c>
      <c r="B30" s="33" t="s">
        <v>1205</v>
      </c>
      <c r="C30" s="100">
        <v>149387</v>
      </c>
      <c r="D30" s="33">
        <v>900202823</v>
      </c>
      <c r="E30" s="34" t="s">
        <v>342</v>
      </c>
      <c r="F30" s="4" t="s">
        <v>37</v>
      </c>
      <c r="G30" s="61">
        <f>(53+55+46+47+58+50+48+48+28+29+29+28)/600*100</f>
        <v>86.5</v>
      </c>
      <c r="H30" s="4" t="s">
        <v>328</v>
      </c>
      <c r="I30" s="4" t="s">
        <v>1206</v>
      </c>
      <c r="J30" s="4">
        <v>321</v>
      </c>
      <c r="K30" s="4">
        <v>86.19</v>
      </c>
      <c r="L30" s="4" t="s">
        <v>1142</v>
      </c>
      <c r="M30" s="4" t="s">
        <v>328</v>
      </c>
      <c r="N30" s="35">
        <v>9908990865</v>
      </c>
      <c r="O30" s="96">
        <v>80.595400000000012</v>
      </c>
      <c r="P30" s="96">
        <f t="shared" si="0"/>
        <v>5.5945999999999856</v>
      </c>
      <c r="Q30" s="25">
        <f t="shared" si="1"/>
        <v>31.299549159999838</v>
      </c>
    </row>
    <row r="31" spans="1:17" ht="15.75" x14ac:dyDescent="0.25">
      <c r="A31" s="35">
        <v>27</v>
      </c>
      <c r="B31" s="33" t="s">
        <v>1207</v>
      </c>
      <c r="C31" s="100">
        <v>155018</v>
      </c>
      <c r="D31" s="33">
        <v>900410806</v>
      </c>
      <c r="E31" s="34" t="s">
        <v>1208</v>
      </c>
      <c r="F31" s="35" t="s">
        <v>37</v>
      </c>
      <c r="G31" s="64">
        <f>(59+60+55+56+60+58+44+57+30+28+29+30)/600*100</f>
        <v>94.333333333333343</v>
      </c>
      <c r="H31" s="4" t="s">
        <v>328</v>
      </c>
      <c r="I31" s="4" t="s">
        <v>408</v>
      </c>
      <c r="J31" s="4">
        <v>316</v>
      </c>
      <c r="K31" s="35">
        <v>85.69</v>
      </c>
      <c r="L31" s="4" t="s">
        <v>1142</v>
      </c>
      <c r="M31" s="4" t="s">
        <v>328</v>
      </c>
      <c r="N31" s="35">
        <v>9949103474</v>
      </c>
      <c r="O31" s="96">
        <v>80.595400000000012</v>
      </c>
      <c r="P31" s="96">
        <f t="shared" si="0"/>
        <v>5.0945999999999856</v>
      </c>
      <c r="Q31" s="25">
        <f t="shared" si="1"/>
        <v>25.954949159999853</v>
      </c>
    </row>
    <row r="32" spans="1:17" ht="15.75" x14ac:dyDescent="0.25">
      <c r="A32" s="69">
        <v>28</v>
      </c>
      <c r="B32" s="33" t="s">
        <v>1209</v>
      </c>
      <c r="C32" s="100">
        <v>114808</v>
      </c>
      <c r="D32" s="33">
        <v>900406007</v>
      </c>
      <c r="E32" s="34" t="s">
        <v>1210</v>
      </c>
      <c r="F32" s="4" t="s">
        <v>37</v>
      </c>
      <c r="G32" s="61">
        <f>(58+57+51+55+51+36+49+54+29+30+30+30)/600*100</f>
        <v>88.333333333333329</v>
      </c>
      <c r="H32" s="4" t="s">
        <v>328</v>
      </c>
      <c r="I32" s="4" t="s">
        <v>1211</v>
      </c>
      <c r="J32" s="4">
        <v>356</v>
      </c>
      <c r="K32" s="4">
        <v>89.39</v>
      </c>
      <c r="L32" s="4" t="s">
        <v>1212</v>
      </c>
      <c r="M32" s="4" t="s">
        <v>328</v>
      </c>
      <c r="N32" s="35">
        <v>9490188713</v>
      </c>
      <c r="O32" s="96">
        <v>80.595400000000012</v>
      </c>
      <c r="P32" s="96">
        <f t="shared" si="0"/>
        <v>8.7945999999999884</v>
      </c>
      <c r="Q32" s="25">
        <f t="shared" si="1"/>
        <v>77.344989159999798</v>
      </c>
    </row>
    <row r="33" spans="1:17" ht="15.75" x14ac:dyDescent="0.25">
      <c r="A33" s="4">
        <v>29</v>
      </c>
      <c r="B33" s="33" t="s">
        <v>1213</v>
      </c>
      <c r="C33" s="100">
        <v>46308</v>
      </c>
      <c r="D33" s="33">
        <v>900502122</v>
      </c>
      <c r="E33" s="34" t="s">
        <v>1189</v>
      </c>
      <c r="F33" s="4" t="s">
        <v>39</v>
      </c>
      <c r="G33" s="61">
        <f>(60+60+60+54+60+60+55+58+120)/600*100</f>
        <v>97.833333333333343</v>
      </c>
      <c r="H33" s="4" t="s">
        <v>328</v>
      </c>
      <c r="I33" s="4" t="s">
        <v>1214</v>
      </c>
      <c r="J33" s="4">
        <v>454</v>
      </c>
      <c r="K33" s="4">
        <v>95.7</v>
      </c>
      <c r="L33" s="4" t="s">
        <v>1212</v>
      </c>
      <c r="M33" s="4" t="s">
        <v>328</v>
      </c>
      <c r="N33" s="35">
        <v>8143389873</v>
      </c>
      <c r="O33" s="96">
        <v>80.595400000000012</v>
      </c>
      <c r="P33" s="96">
        <f t="shared" si="0"/>
        <v>15.104599999999991</v>
      </c>
      <c r="Q33" s="25">
        <f t="shared" si="1"/>
        <v>228.14894115999971</v>
      </c>
    </row>
    <row r="34" spans="1:17" ht="31.5" x14ac:dyDescent="0.25">
      <c r="A34" s="35">
        <v>30</v>
      </c>
      <c r="B34" s="33" t="s">
        <v>1215</v>
      </c>
      <c r="C34" s="100">
        <v>51031</v>
      </c>
      <c r="D34" s="33">
        <v>900510184</v>
      </c>
      <c r="E34" s="34" t="s">
        <v>1216</v>
      </c>
      <c r="F34" s="4" t="s">
        <v>41</v>
      </c>
      <c r="G34" s="61">
        <f>(60+58+58+57+60+50+58+47+27+30+30+27)/600*100</f>
        <v>93.666666666666671</v>
      </c>
      <c r="H34" s="4" t="s">
        <v>328</v>
      </c>
      <c r="I34" s="4" t="s">
        <v>1217</v>
      </c>
      <c r="J34" s="4">
        <v>445</v>
      </c>
      <c r="K34" s="4">
        <v>95.27</v>
      </c>
      <c r="L34" s="4" t="s">
        <v>1218</v>
      </c>
      <c r="M34" s="4" t="s">
        <v>328</v>
      </c>
      <c r="N34" s="35">
        <v>9490741769</v>
      </c>
      <c r="O34" s="96">
        <v>80.595400000000012</v>
      </c>
      <c r="P34" s="96">
        <f t="shared" si="0"/>
        <v>14.674599999999984</v>
      </c>
      <c r="Q34" s="25">
        <f t="shared" si="1"/>
        <v>215.34388515999953</v>
      </c>
    </row>
    <row r="35" spans="1:17" ht="15.75" x14ac:dyDescent="0.25">
      <c r="A35" s="69">
        <v>31</v>
      </c>
      <c r="B35" s="33" t="s">
        <v>1219</v>
      </c>
      <c r="C35" s="100">
        <v>46837</v>
      </c>
      <c r="D35" s="33">
        <v>900509982</v>
      </c>
      <c r="E35" s="34" t="s">
        <v>1220</v>
      </c>
      <c r="F35" s="4" t="s">
        <v>33</v>
      </c>
      <c r="G35" s="61">
        <f>(60+60+60+60+59+60+60+58+120)/600*100</f>
        <v>99.5</v>
      </c>
      <c r="H35" s="4" t="s">
        <v>328</v>
      </c>
      <c r="I35" s="4" t="s">
        <v>1221</v>
      </c>
      <c r="J35" s="4">
        <v>453</v>
      </c>
      <c r="K35" s="4">
        <v>95.66</v>
      </c>
      <c r="L35" s="4" t="s">
        <v>1222</v>
      </c>
      <c r="M35" s="4" t="s">
        <v>328</v>
      </c>
      <c r="N35" s="35">
        <v>9440127052</v>
      </c>
      <c r="O35" s="96">
        <v>80.595400000000012</v>
      </c>
      <c r="P35" s="96">
        <f t="shared" si="0"/>
        <v>15.064599999999984</v>
      </c>
      <c r="Q35" s="25">
        <f t="shared" si="1"/>
        <v>226.94217315999953</v>
      </c>
    </row>
    <row r="36" spans="1:17" ht="31.5" x14ac:dyDescent="0.25">
      <c r="A36" s="4">
        <v>32</v>
      </c>
      <c r="B36" s="33" t="s">
        <v>1223</v>
      </c>
      <c r="C36" s="100">
        <v>79218</v>
      </c>
      <c r="D36" s="33">
        <v>900500295</v>
      </c>
      <c r="E36" s="34" t="s">
        <v>1224</v>
      </c>
      <c r="F36" s="35" t="s">
        <v>43</v>
      </c>
      <c r="G36" s="64">
        <f>(59+59+60+48+58+54+44+51+120)/600*100</f>
        <v>92.166666666666657</v>
      </c>
      <c r="H36" s="4" t="s">
        <v>328</v>
      </c>
      <c r="I36" s="4" t="s">
        <v>1225</v>
      </c>
      <c r="J36" s="4">
        <v>400</v>
      </c>
      <c r="K36" s="35">
        <v>92.66</v>
      </c>
      <c r="L36" s="35" t="s">
        <v>1226</v>
      </c>
      <c r="M36" s="4" t="s">
        <v>328</v>
      </c>
      <c r="N36" s="35">
        <v>7358205145</v>
      </c>
      <c r="O36" s="96">
        <v>80.595400000000012</v>
      </c>
      <c r="P36" s="96">
        <f t="shared" si="0"/>
        <v>12.064599999999984</v>
      </c>
      <c r="Q36" s="25">
        <f t="shared" si="1"/>
        <v>145.55457315999962</v>
      </c>
    </row>
    <row r="37" spans="1:17" ht="31.5" x14ac:dyDescent="0.25">
      <c r="A37" s="35">
        <v>33</v>
      </c>
      <c r="B37" s="33" t="s">
        <v>1227</v>
      </c>
      <c r="C37" s="100">
        <v>43947</v>
      </c>
      <c r="D37" s="33">
        <v>900202681</v>
      </c>
      <c r="E37" s="34" t="s">
        <v>1228</v>
      </c>
      <c r="F37" s="4" t="s">
        <v>33</v>
      </c>
      <c r="G37" s="61">
        <f>(94+88+95)/300*100</f>
        <v>92.333333333333329</v>
      </c>
      <c r="H37" s="4" t="s">
        <v>328</v>
      </c>
      <c r="I37" s="4" t="s">
        <v>1229</v>
      </c>
      <c r="J37" s="4">
        <v>459</v>
      </c>
      <c r="K37" s="4">
        <v>95.94</v>
      </c>
      <c r="L37" s="4" t="s">
        <v>1230</v>
      </c>
      <c r="M37" s="4" t="s">
        <v>328</v>
      </c>
      <c r="N37" s="35">
        <v>9160742444</v>
      </c>
      <c r="O37" s="96">
        <v>80.595400000000012</v>
      </c>
      <c r="P37" s="96">
        <f t="shared" si="0"/>
        <v>15.344599999999986</v>
      </c>
      <c r="Q37" s="25">
        <f t="shared" si="1"/>
        <v>235.45674915999956</v>
      </c>
    </row>
    <row r="38" spans="1:17" ht="15.75" x14ac:dyDescent="0.25">
      <c r="A38" s="69">
        <v>34</v>
      </c>
      <c r="B38" s="33" t="s">
        <v>1231</v>
      </c>
      <c r="C38" s="100">
        <v>240336</v>
      </c>
      <c r="D38" s="33">
        <v>900510221</v>
      </c>
      <c r="E38" s="34" t="s">
        <v>1232</v>
      </c>
      <c r="F38" s="4" t="s">
        <v>39</v>
      </c>
      <c r="G38" s="61">
        <f>(58+60+60+52+59+57+59+54+30+26+30+30)/600*100</f>
        <v>95.833333333333343</v>
      </c>
      <c r="H38" s="4" t="s">
        <v>328</v>
      </c>
      <c r="I38" s="4" t="s">
        <v>1233</v>
      </c>
      <c r="J38" s="4">
        <v>253</v>
      </c>
      <c r="K38" s="4">
        <v>77.92</v>
      </c>
      <c r="L38" s="4" t="s">
        <v>1234</v>
      </c>
      <c r="M38" s="4" t="s">
        <v>328</v>
      </c>
      <c r="N38" s="35">
        <v>9032026515</v>
      </c>
      <c r="O38" s="96">
        <v>80.595400000000012</v>
      </c>
      <c r="P38" s="96">
        <f t="shared" si="0"/>
        <v>-2.6754000000000104</v>
      </c>
      <c r="Q38" s="25">
        <f t="shared" si="1"/>
        <v>7.1577651600000562</v>
      </c>
    </row>
    <row r="39" spans="1:17" ht="15.75" x14ac:dyDescent="0.25">
      <c r="A39" s="4">
        <v>35</v>
      </c>
      <c r="B39" s="33" t="s">
        <v>1235</v>
      </c>
      <c r="C39" s="100">
        <v>38695</v>
      </c>
      <c r="D39" s="33">
        <v>900506714</v>
      </c>
      <c r="E39" s="34" t="s">
        <v>1236</v>
      </c>
      <c r="F39" s="35" t="s">
        <v>33</v>
      </c>
      <c r="G39" s="64">
        <f>(59+60+59+58+60+60+60+60+120)/600*100</f>
        <v>99.333333333333329</v>
      </c>
      <c r="H39" s="4" t="s">
        <v>328</v>
      </c>
      <c r="I39" s="4" t="s">
        <v>1237</v>
      </c>
      <c r="J39" s="4">
        <v>470</v>
      </c>
      <c r="K39" s="35">
        <v>96.42</v>
      </c>
      <c r="L39" s="35" t="s">
        <v>1212</v>
      </c>
      <c r="M39" s="4" t="s">
        <v>328</v>
      </c>
      <c r="N39" s="35">
        <v>8985951562</v>
      </c>
      <c r="O39" s="96">
        <v>80.595400000000012</v>
      </c>
      <c r="P39" s="96">
        <f t="shared" si="0"/>
        <v>15.82459999999999</v>
      </c>
      <c r="Q39" s="25">
        <f t="shared" si="1"/>
        <v>250.41796515999968</v>
      </c>
    </row>
    <row r="40" spans="1:17" ht="15.75" x14ac:dyDescent="0.25">
      <c r="A40" s="35">
        <v>36</v>
      </c>
      <c r="B40" s="33" t="s">
        <v>1238</v>
      </c>
      <c r="C40" s="100">
        <v>49550</v>
      </c>
      <c r="D40" s="33">
        <v>900407335</v>
      </c>
      <c r="E40" s="34" t="s">
        <v>787</v>
      </c>
      <c r="F40" s="35" t="s">
        <v>39</v>
      </c>
      <c r="G40" s="64">
        <f>(59+59+60+53+60+59+45+56+120)/600*100</f>
        <v>95.166666666666671</v>
      </c>
      <c r="H40" s="4" t="s">
        <v>328</v>
      </c>
      <c r="I40" s="4" t="s">
        <v>507</v>
      </c>
      <c r="J40" s="4">
        <v>448</v>
      </c>
      <c r="K40" s="35">
        <v>95.42</v>
      </c>
      <c r="L40" s="35" t="s">
        <v>1218</v>
      </c>
      <c r="M40" s="4" t="s">
        <v>328</v>
      </c>
      <c r="N40" s="35">
        <v>7673927629</v>
      </c>
      <c r="O40" s="96">
        <v>80.595400000000012</v>
      </c>
      <c r="P40" s="96">
        <f t="shared" si="0"/>
        <v>14.82459999999999</v>
      </c>
      <c r="Q40" s="25">
        <f t="shared" si="1"/>
        <v>219.7687651599997</v>
      </c>
    </row>
    <row r="41" spans="1:17" ht="15.75" x14ac:dyDescent="0.25">
      <c r="A41" s="69">
        <v>37</v>
      </c>
      <c r="B41" s="33" t="s">
        <v>1239</v>
      </c>
      <c r="C41" s="100">
        <v>176126</v>
      </c>
      <c r="D41" s="33">
        <v>900406571</v>
      </c>
      <c r="E41" s="34" t="s">
        <v>518</v>
      </c>
      <c r="F41" s="4" t="s">
        <v>46</v>
      </c>
      <c r="G41" s="61">
        <f>(56+57+50+41+55+60+55+54+26+28+29+26)/600*100</f>
        <v>89.5</v>
      </c>
      <c r="H41" s="4" t="s">
        <v>328</v>
      </c>
      <c r="I41" s="4" t="s">
        <v>1240</v>
      </c>
      <c r="J41" s="4">
        <v>298</v>
      </c>
      <c r="K41" s="4">
        <v>83.74</v>
      </c>
      <c r="L41" s="4" t="s">
        <v>1218</v>
      </c>
      <c r="M41" s="4" t="s">
        <v>328</v>
      </c>
      <c r="N41" s="35">
        <v>8522979289</v>
      </c>
      <c r="O41" s="96">
        <v>80.595400000000012</v>
      </c>
      <c r="P41" s="96">
        <f t="shared" si="0"/>
        <v>3.1445999999999827</v>
      </c>
      <c r="Q41" s="25">
        <f t="shared" si="1"/>
        <v>9.8885091599998916</v>
      </c>
    </row>
    <row r="42" spans="1:17" ht="31.5" x14ac:dyDescent="0.25">
      <c r="A42" s="4">
        <v>38</v>
      </c>
      <c r="B42" s="33" t="s">
        <v>1241</v>
      </c>
      <c r="C42" s="100">
        <v>47495</v>
      </c>
      <c r="D42" s="33">
        <v>900404365</v>
      </c>
      <c r="E42" s="34" t="s">
        <v>1242</v>
      </c>
      <c r="F42" s="35" t="s">
        <v>33</v>
      </c>
      <c r="G42" s="101">
        <f>(60+58+30+60+58+30+60+60+30+60+60+30)/600*100</f>
        <v>99.333333333333329</v>
      </c>
      <c r="H42" s="4" t="s">
        <v>328</v>
      </c>
      <c r="I42" s="4" t="s">
        <v>1243</v>
      </c>
      <c r="J42" s="4">
        <v>452</v>
      </c>
      <c r="K42" s="35">
        <v>95.61</v>
      </c>
      <c r="L42" s="35" t="s">
        <v>1244</v>
      </c>
      <c r="M42" s="4" t="s">
        <v>328</v>
      </c>
      <c r="N42" s="35">
        <v>9848811577</v>
      </c>
      <c r="O42" s="96">
        <v>80.595400000000012</v>
      </c>
      <c r="P42" s="96">
        <f t="shared" si="0"/>
        <v>15.014599999999987</v>
      </c>
      <c r="Q42" s="25">
        <f t="shared" si="1"/>
        <v>225.43821315999961</v>
      </c>
    </row>
    <row r="43" spans="1:17" ht="15.75" x14ac:dyDescent="0.25">
      <c r="A43" s="35">
        <v>39</v>
      </c>
      <c r="B43" s="33" t="s">
        <v>1245</v>
      </c>
      <c r="C43" s="100">
        <v>127005</v>
      </c>
      <c r="D43" s="33">
        <v>900408235</v>
      </c>
      <c r="E43" s="34" t="s">
        <v>1246</v>
      </c>
      <c r="F43" s="35" t="s">
        <v>50</v>
      </c>
      <c r="G43" s="64">
        <f>(59+60+56+53+60+60+56+50+29+60+28)/600*100</f>
        <v>95.166666666666671</v>
      </c>
      <c r="H43" s="4" t="s">
        <v>328</v>
      </c>
      <c r="I43" s="4" t="s">
        <v>1247</v>
      </c>
      <c r="J43" s="4">
        <v>343</v>
      </c>
      <c r="K43" s="35">
        <v>88.27</v>
      </c>
      <c r="L43" s="35" t="s">
        <v>1234</v>
      </c>
      <c r="M43" s="4" t="s">
        <v>328</v>
      </c>
      <c r="N43" s="35">
        <v>9490710093</v>
      </c>
      <c r="O43" s="96">
        <v>80.595400000000012</v>
      </c>
      <c r="P43" s="96">
        <f t="shared" si="0"/>
        <v>7.6745999999999839</v>
      </c>
      <c r="Q43" s="25">
        <f t="shared" si="1"/>
        <v>58.899485159999756</v>
      </c>
    </row>
    <row r="44" spans="1:17" ht="31.5" x14ac:dyDescent="0.25">
      <c r="A44" s="69">
        <v>40</v>
      </c>
      <c r="B44" s="33" t="s">
        <v>1248</v>
      </c>
      <c r="C44" s="100">
        <v>70187</v>
      </c>
      <c r="D44" s="33">
        <v>900502298</v>
      </c>
      <c r="E44" s="34" t="s">
        <v>1249</v>
      </c>
      <c r="F44" s="4" t="s">
        <v>39</v>
      </c>
      <c r="G44" s="61">
        <f>(60+56+60+56+60+60+60+60+120)/600*100</f>
        <v>98.666666666666671</v>
      </c>
      <c r="H44" s="4" t="s">
        <v>328</v>
      </c>
      <c r="I44" s="4" t="s">
        <v>1250</v>
      </c>
      <c r="J44" s="4">
        <v>414</v>
      </c>
      <c r="K44" s="4">
        <v>93.54</v>
      </c>
      <c r="L44" s="4" t="s">
        <v>1234</v>
      </c>
      <c r="M44" s="4" t="s">
        <v>328</v>
      </c>
      <c r="N44" s="35">
        <v>9704334662</v>
      </c>
      <c r="O44" s="96">
        <v>80.595400000000012</v>
      </c>
      <c r="P44" s="96">
        <f t="shared" si="0"/>
        <v>12.944599999999994</v>
      </c>
      <c r="Q44" s="25">
        <f t="shared" si="1"/>
        <v>167.56266915999984</v>
      </c>
    </row>
    <row r="45" spans="1:17" ht="31.5" x14ac:dyDescent="0.25">
      <c r="A45" s="4">
        <v>41</v>
      </c>
      <c r="B45" s="33" t="s">
        <v>1251</v>
      </c>
      <c r="C45" s="100">
        <v>43842</v>
      </c>
      <c r="D45" s="33">
        <v>900507887</v>
      </c>
      <c r="E45" s="34" t="s">
        <v>764</v>
      </c>
      <c r="F45" s="35" t="s">
        <v>33</v>
      </c>
      <c r="G45" s="64">
        <f>(60+60+30+60+59+30+60+59+30+60+50+30)/600*100</f>
        <v>98</v>
      </c>
      <c r="H45" s="4" t="s">
        <v>328</v>
      </c>
      <c r="I45" s="4" t="s">
        <v>1252</v>
      </c>
      <c r="J45" s="4">
        <v>459</v>
      </c>
      <c r="K45" s="35">
        <v>95.94</v>
      </c>
      <c r="L45" s="35" t="s">
        <v>1230</v>
      </c>
      <c r="M45" s="4" t="s">
        <v>328</v>
      </c>
      <c r="N45" s="35">
        <v>9394166777</v>
      </c>
      <c r="O45" s="96">
        <v>80.595400000000012</v>
      </c>
      <c r="P45" s="96">
        <f t="shared" si="0"/>
        <v>15.344599999999986</v>
      </c>
      <c r="Q45" s="25">
        <f t="shared" si="1"/>
        <v>235.45674915999956</v>
      </c>
    </row>
    <row r="46" spans="1:17" ht="15.75" x14ac:dyDescent="0.25">
      <c r="A46" s="35">
        <v>42</v>
      </c>
      <c r="B46" s="33" t="s">
        <v>1253</v>
      </c>
      <c r="C46" s="100">
        <v>187663</v>
      </c>
      <c r="D46" s="33">
        <v>900504119</v>
      </c>
      <c r="E46" s="34" t="s">
        <v>1254</v>
      </c>
      <c r="F46" s="4" t="s">
        <v>46</v>
      </c>
      <c r="G46" s="61">
        <f>(53+49+58+51+56+55+39+57+120)/600*100</f>
        <v>89.666666666666657</v>
      </c>
      <c r="H46" s="4" t="s">
        <v>328</v>
      </c>
      <c r="I46" s="4" t="s">
        <v>1255</v>
      </c>
      <c r="J46" s="4">
        <v>289</v>
      </c>
      <c r="K46" s="4">
        <v>82.68</v>
      </c>
      <c r="L46" s="4" t="s">
        <v>1226</v>
      </c>
      <c r="M46" s="4" t="s">
        <v>328</v>
      </c>
      <c r="N46" s="35">
        <v>9959951245</v>
      </c>
      <c r="O46" s="96">
        <v>80.595400000000012</v>
      </c>
      <c r="P46" s="96">
        <f t="shared" si="0"/>
        <v>2.0845999999999947</v>
      </c>
      <c r="Q46" s="25">
        <f t="shared" si="1"/>
        <v>4.345557159999978</v>
      </c>
    </row>
    <row r="47" spans="1:17" ht="31.5" x14ac:dyDescent="0.25">
      <c r="A47" s="4">
        <v>43</v>
      </c>
      <c r="B47" s="33" t="s">
        <v>1256</v>
      </c>
      <c r="C47" s="100">
        <v>64075</v>
      </c>
      <c r="D47" s="33">
        <v>900410782</v>
      </c>
      <c r="E47" s="34" t="s">
        <v>751</v>
      </c>
      <c r="F47" s="35" t="s">
        <v>33</v>
      </c>
      <c r="G47" s="64">
        <f>(60+57+50+51+60+51+60+57+90+28)/600*100</f>
        <v>94</v>
      </c>
      <c r="H47" s="4" t="s">
        <v>328</v>
      </c>
      <c r="I47" s="4" t="s">
        <v>1257</v>
      </c>
      <c r="J47" s="4">
        <v>423</v>
      </c>
      <c r="K47" s="35">
        <v>94.07</v>
      </c>
      <c r="L47" s="35" t="s">
        <v>1234</v>
      </c>
      <c r="M47" s="4" t="s">
        <v>328</v>
      </c>
      <c r="N47" s="35">
        <v>9989035466</v>
      </c>
      <c r="O47" s="96">
        <v>80.595400000000012</v>
      </c>
      <c r="P47" s="96">
        <f t="shared" si="0"/>
        <v>13.474599999999981</v>
      </c>
      <c r="Q47" s="25">
        <f t="shared" si="1"/>
        <v>181.56484515999949</v>
      </c>
    </row>
    <row r="48" spans="1:17" ht="15.75" x14ac:dyDescent="0.25">
      <c r="A48" s="35">
        <v>44</v>
      </c>
      <c r="B48" s="33" t="s">
        <v>1258</v>
      </c>
      <c r="C48" s="100">
        <v>61701</v>
      </c>
      <c r="D48" s="33">
        <v>900202495</v>
      </c>
      <c r="E48" s="34" t="s">
        <v>1259</v>
      </c>
      <c r="F48" s="35" t="s">
        <v>33</v>
      </c>
      <c r="G48" s="64">
        <f>(60+58+30+60+60+28+60+60+30+59+60+30)/600*100</f>
        <v>99.166666666666671</v>
      </c>
      <c r="H48" s="4" t="s">
        <v>328</v>
      </c>
      <c r="I48" s="4" t="s">
        <v>1260</v>
      </c>
      <c r="J48" s="4">
        <v>427</v>
      </c>
      <c r="K48" s="4">
        <v>94.3</v>
      </c>
      <c r="L48" s="35" t="s">
        <v>1226</v>
      </c>
      <c r="M48" s="4" t="s">
        <v>328</v>
      </c>
      <c r="N48" s="35">
        <v>8978479957</v>
      </c>
      <c r="O48" s="96">
        <v>80.595400000000012</v>
      </c>
      <c r="P48" s="96">
        <f t="shared" si="0"/>
        <v>13.704599999999985</v>
      </c>
      <c r="Q48" s="25">
        <f t="shared" si="1"/>
        <v>187.81606115999958</v>
      </c>
    </row>
    <row r="49" spans="1:17" ht="31.5" x14ac:dyDescent="0.25">
      <c r="A49" s="4">
        <v>45</v>
      </c>
      <c r="B49" s="33" t="s">
        <v>1261</v>
      </c>
      <c r="C49" s="100">
        <v>62948</v>
      </c>
      <c r="D49" s="33">
        <v>900413583</v>
      </c>
      <c r="E49" s="34" t="s">
        <v>1189</v>
      </c>
      <c r="F49" s="35" t="s">
        <v>33</v>
      </c>
      <c r="G49" s="61">
        <f>(60+60+60+57+60+60+55+45+30+30+27+29)/600*100</f>
        <v>95.5</v>
      </c>
      <c r="H49" s="4" t="s">
        <v>328</v>
      </c>
      <c r="I49" s="4" t="s">
        <v>1262</v>
      </c>
      <c r="J49" s="4">
        <v>425</v>
      </c>
      <c r="K49" s="4">
        <v>94.19</v>
      </c>
      <c r="L49" s="4" t="s">
        <v>1263</v>
      </c>
      <c r="M49" s="4" t="s">
        <v>328</v>
      </c>
      <c r="N49" s="35">
        <v>9505090789</v>
      </c>
      <c r="O49" s="96">
        <v>80.595400000000012</v>
      </c>
      <c r="P49" s="96">
        <f t="shared" si="0"/>
        <v>13.594599999999986</v>
      </c>
      <c r="Q49" s="25">
        <f t="shared" si="1"/>
        <v>184.8131491599996</v>
      </c>
    </row>
    <row r="50" spans="1:17" ht="31.5" x14ac:dyDescent="0.25">
      <c r="A50" s="35">
        <v>46</v>
      </c>
      <c r="B50" s="33" t="s">
        <v>1264</v>
      </c>
      <c r="C50" s="100">
        <v>51526</v>
      </c>
      <c r="D50" s="33">
        <v>900414436</v>
      </c>
      <c r="E50" s="34" t="s">
        <v>591</v>
      </c>
      <c r="F50" s="4" t="s">
        <v>33</v>
      </c>
      <c r="G50" s="61">
        <f>(57+58+56+60+58+60+56+60+120)/600*100</f>
        <v>97.5</v>
      </c>
      <c r="H50" s="4" t="s">
        <v>328</v>
      </c>
      <c r="I50" s="4" t="s">
        <v>1265</v>
      </c>
      <c r="J50" s="4">
        <v>444</v>
      </c>
      <c r="K50" s="4">
        <v>95.23</v>
      </c>
      <c r="L50" s="4" t="s">
        <v>1222</v>
      </c>
      <c r="M50" s="4" t="s">
        <v>328</v>
      </c>
      <c r="N50" s="35">
        <v>9938135531</v>
      </c>
      <c r="O50" s="96">
        <v>80.595400000000012</v>
      </c>
      <c r="P50" s="96">
        <f t="shared" si="0"/>
        <v>14.634599999999992</v>
      </c>
      <c r="Q50" s="25">
        <f t="shared" si="1"/>
        <v>214.17151715999975</v>
      </c>
    </row>
    <row r="51" spans="1:17" ht="31.5" x14ac:dyDescent="0.25">
      <c r="A51" s="4">
        <v>47</v>
      </c>
      <c r="B51" s="33" t="s">
        <v>1266</v>
      </c>
      <c r="C51" s="100">
        <v>134845</v>
      </c>
      <c r="D51" s="33">
        <v>900405851</v>
      </c>
      <c r="E51" s="34" t="s">
        <v>1267</v>
      </c>
      <c r="F51" s="4" t="s">
        <v>50</v>
      </c>
      <c r="G51" s="61">
        <f>(60+58+55+57+57+55+48+56+29+30+30+29)/600*100</f>
        <v>94</v>
      </c>
      <c r="H51" s="4" t="s">
        <v>328</v>
      </c>
      <c r="I51" s="4" t="s">
        <v>1268</v>
      </c>
      <c r="J51" s="4">
        <v>335</v>
      </c>
      <c r="K51" s="4">
        <v>87.54</v>
      </c>
      <c r="L51" s="4" t="s">
        <v>1222</v>
      </c>
      <c r="M51" s="4" t="s">
        <v>328</v>
      </c>
      <c r="N51" s="35">
        <v>9848960639</v>
      </c>
      <c r="O51" s="96">
        <v>80.595400000000012</v>
      </c>
      <c r="P51" s="96">
        <f t="shared" si="0"/>
        <v>6.9445999999999941</v>
      </c>
      <c r="Q51" s="25">
        <f t="shared" si="1"/>
        <v>48.22746915999992</v>
      </c>
    </row>
    <row r="52" spans="1:17" ht="15.75" x14ac:dyDescent="0.25">
      <c r="A52" s="35">
        <v>48</v>
      </c>
      <c r="B52" s="33" t="s">
        <v>1269</v>
      </c>
      <c r="C52" s="100">
        <v>46331</v>
      </c>
      <c r="D52" s="33">
        <v>900406708</v>
      </c>
      <c r="E52" s="34" t="s">
        <v>591</v>
      </c>
      <c r="F52" s="35" t="s">
        <v>39</v>
      </c>
      <c r="G52" s="35">
        <f>(60+60+60+58+56+60+60+57+120)/600*100</f>
        <v>98.5</v>
      </c>
      <c r="H52" s="4" t="s">
        <v>328</v>
      </c>
      <c r="I52" s="4" t="s">
        <v>1270</v>
      </c>
      <c r="J52" s="4">
        <v>454</v>
      </c>
      <c r="K52" s="4">
        <v>95.71</v>
      </c>
      <c r="L52" s="4" t="s">
        <v>1222</v>
      </c>
      <c r="M52" s="4" t="s">
        <v>328</v>
      </c>
      <c r="N52" s="35">
        <v>9959678793</v>
      </c>
      <c r="O52" s="96">
        <v>80.595400000000012</v>
      </c>
      <c r="P52" s="96">
        <f t="shared" si="0"/>
        <v>15.114599999999982</v>
      </c>
      <c r="Q52" s="25">
        <f t="shared" si="1"/>
        <v>228.45113315999944</v>
      </c>
    </row>
    <row r="53" spans="1:17" ht="31.5" x14ac:dyDescent="0.25">
      <c r="A53" s="4">
        <v>49</v>
      </c>
      <c r="B53" s="33" t="s">
        <v>1271</v>
      </c>
      <c r="C53" s="100">
        <v>131999</v>
      </c>
      <c r="D53" s="33">
        <v>900201175</v>
      </c>
      <c r="E53" s="34" t="s">
        <v>693</v>
      </c>
      <c r="F53" s="35" t="s">
        <v>37</v>
      </c>
      <c r="G53" s="35">
        <f>(56+54+57+55+56+57+57+52+120)/600*100</f>
        <v>94</v>
      </c>
      <c r="H53" s="4" t="s">
        <v>328</v>
      </c>
      <c r="I53" s="33" t="s">
        <v>1272</v>
      </c>
      <c r="J53" s="4">
        <v>338</v>
      </c>
      <c r="K53" s="4">
        <v>87.82</v>
      </c>
      <c r="L53" s="4" t="s">
        <v>1226</v>
      </c>
      <c r="M53" s="4" t="s">
        <v>328</v>
      </c>
      <c r="N53" s="35">
        <v>9493842749</v>
      </c>
      <c r="O53" s="96">
        <v>80.595400000000012</v>
      </c>
      <c r="P53" s="96">
        <f t="shared" si="0"/>
        <v>7.224599999999981</v>
      </c>
      <c r="Q53" s="25">
        <f t="shared" si="1"/>
        <v>52.194845159999723</v>
      </c>
    </row>
    <row r="54" spans="1:17" ht="15.75" x14ac:dyDescent="0.25">
      <c r="A54" s="4">
        <v>50</v>
      </c>
      <c r="B54" s="33" t="s">
        <v>1273</v>
      </c>
      <c r="C54" s="100">
        <v>259745</v>
      </c>
      <c r="D54" s="33">
        <v>900508801</v>
      </c>
      <c r="E54" s="34" t="s">
        <v>1274</v>
      </c>
      <c r="F54" s="4" t="s">
        <v>39</v>
      </c>
      <c r="G54" s="61">
        <f>491/600*100</f>
        <v>81.833333333333343</v>
      </c>
      <c r="H54" s="4" t="s">
        <v>328</v>
      </c>
      <c r="I54" s="33" t="s">
        <v>857</v>
      </c>
      <c r="J54" s="4">
        <v>241</v>
      </c>
      <c r="K54" s="4">
        <v>76.12</v>
      </c>
      <c r="L54" s="4" t="s">
        <v>1142</v>
      </c>
      <c r="M54" s="4" t="s">
        <v>328</v>
      </c>
      <c r="N54" s="35">
        <v>9848360337</v>
      </c>
      <c r="O54" s="96">
        <v>80.595400000000012</v>
      </c>
      <c r="P54" s="96">
        <f t="shared" si="0"/>
        <v>-4.4754000000000076</v>
      </c>
      <c r="Q54" s="25">
        <f t="shared" si="1"/>
        <v>20.029205160000068</v>
      </c>
    </row>
    <row r="55" spans="1:17" ht="31.5" x14ac:dyDescent="0.25">
      <c r="A55" s="4">
        <v>51</v>
      </c>
      <c r="B55" s="33" t="s">
        <v>1275</v>
      </c>
      <c r="C55" s="100">
        <v>248764</v>
      </c>
      <c r="D55" s="33">
        <v>902102717</v>
      </c>
      <c r="E55" s="33" t="s">
        <v>1276</v>
      </c>
      <c r="F55" s="4" t="s">
        <v>33</v>
      </c>
      <c r="G55" s="68">
        <f>200/300*100</f>
        <v>66.666666666666657</v>
      </c>
      <c r="H55" s="4" t="s">
        <v>328</v>
      </c>
      <c r="I55" s="33" t="s">
        <v>1277</v>
      </c>
      <c r="J55" s="4">
        <v>247</v>
      </c>
      <c r="K55" s="4">
        <v>77.040000000000006</v>
      </c>
      <c r="L55" s="4" t="s">
        <v>1278</v>
      </c>
      <c r="M55" s="4" t="s">
        <v>328</v>
      </c>
      <c r="N55" s="35">
        <v>9426614151</v>
      </c>
      <c r="O55" s="96">
        <v>80.595400000000012</v>
      </c>
      <c r="P55" s="96">
        <f t="shared" si="0"/>
        <v>-3.5554000000000059</v>
      </c>
      <c r="Q55" s="25">
        <f t="shared" si="1"/>
        <v>12.640869160000042</v>
      </c>
    </row>
    <row r="56" spans="1:17" ht="15.75" x14ac:dyDescent="0.25">
      <c r="A56" s="4" t="s">
        <v>1279</v>
      </c>
      <c r="B56" s="33" t="s">
        <v>1280</v>
      </c>
      <c r="C56" s="100">
        <v>85967</v>
      </c>
      <c r="D56" s="33">
        <v>900415544</v>
      </c>
      <c r="E56" s="33" t="s">
        <v>575</v>
      </c>
      <c r="F56" s="4" t="s">
        <v>33</v>
      </c>
      <c r="G56" s="68">
        <f>568/600*100</f>
        <v>94.666666666666671</v>
      </c>
      <c r="H56" s="4" t="s">
        <v>328</v>
      </c>
      <c r="I56" s="33" t="s">
        <v>1281</v>
      </c>
      <c r="J56" s="4">
        <v>391</v>
      </c>
      <c r="K56" s="4">
        <v>92.04</v>
      </c>
      <c r="L56" s="4" t="s">
        <v>1282</v>
      </c>
      <c r="M56" s="4" t="s">
        <v>328</v>
      </c>
      <c r="N56" s="35">
        <v>9848969994</v>
      </c>
      <c r="O56" s="96">
        <v>80.595400000000012</v>
      </c>
      <c r="P56" s="96">
        <f t="shared" si="0"/>
        <v>11.444599999999994</v>
      </c>
      <c r="Q56" s="25">
        <f t="shared" si="1"/>
        <v>130.97886915999987</v>
      </c>
    </row>
    <row r="57" spans="1:17" ht="15.75" x14ac:dyDescent="0.25">
      <c r="A57" s="4">
        <v>53</v>
      </c>
      <c r="B57" s="33" t="s">
        <v>1283</v>
      </c>
      <c r="C57" s="100">
        <v>142039</v>
      </c>
      <c r="D57" s="33">
        <v>900505696</v>
      </c>
      <c r="E57" s="33" t="s">
        <v>1284</v>
      </c>
      <c r="F57" s="4" t="s">
        <v>33</v>
      </c>
      <c r="G57" s="68">
        <f>593/600*100</f>
        <v>98.833333333333329</v>
      </c>
      <c r="H57" s="4" t="s">
        <v>328</v>
      </c>
      <c r="I57" s="33" t="s">
        <v>1285</v>
      </c>
      <c r="J57" s="4">
        <v>328</v>
      </c>
      <c r="K57" s="4">
        <v>86.88</v>
      </c>
      <c r="L57" s="4" t="s">
        <v>1278</v>
      </c>
      <c r="M57" s="4" t="s">
        <v>328</v>
      </c>
      <c r="N57" s="35">
        <v>9885748277</v>
      </c>
      <c r="O57" s="96">
        <v>80.595400000000012</v>
      </c>
      <c r="P57" s="96">
        <f t="shared" si="0"/>
        <v>6.2845999999999833</v>
      </c>
      <c r="Q57" s="25">
        <f t="shared" si="1"/>
        <v>39.496197159999788</v>
      </c>
    </row>
    <row r="58" spans="1:17" ht="15.75" x14ac:dyDescent="0.25">
      <c r="A58" s="4">
        <v>54</v>
      </c>
      <c r="B58" s="33" t="s">
        <v>1286</v>
      </c>
      <c r="C58" s="100">
        <v>407339</v>
      </c>
      <c r="D58" s="33">
        <v>900404548</v>
      </c>
      <c r="E58" s="33" t="s">
        <v>1287</v>
      </c>
      <c r="F58" s="4" t="s">
        <v>39</v>
      </c>
      <c r="G58" s="68">
        <f>508/600*100</f>
        <v>84.666666666666671</v>
      </c>
      <c r="H58" s="4" t="s">
        <v>328</v>
      </c>
      <c r="I58" s="33" t="s">
        <v>1288</v>
      </c>
      <c r="J58" s="4">
        <v>172</v>
      </c>
      <c r="K58" s="4">
        <v>62.42</v>
      </c>
      <c r="L58" s="4" t="s">
        <v>1278</v>
      </c>
      <c r="M58" s="4" t="s">
        <v>328</v>
      </c>
      <c r="N58" s="35">
        <v>9989962844</v>
      </c>
      <c r="O58" s="96">
        <v>80.595400000000012</v>
      </c>
      <c r="P58" s="96">
        <f t="shared" si="0"/>
        <v>-18.17540000000001</v>
      </c>
      <c r="Q58" s="25">
        <f t="shared" si="1"/>
        <v>330.34516516000036</v>
      </c>
    </row>
    <row r="59" spans="1:17" ht="15.75" x14ac:dyDescent="0.25">
      <c r="A59" s="4">
        <v>55</v>
      </c>
      <c r="B59" s="33" t="s">
        <v>1289</v>
      </c>
      <c r="C59" s="100">
        <v>414576</v>
      </c>
      <c r="D59" s="33">
        <v>909102696</v>
      </c>
      <c r="E59" s="33" t="s">
        <v>1290</v>
      </c>
      <c r="F59" s="4" t="s">
        <v>33</v>
      </c>
      <c r="G59" s="68">
        <f>569/600*100</f>
        <v>94.833333333333343</v>
      </c>
      <c r="H59" s="4" t="s">
        <v>328</v>
      </c>
      <c r="I59" s="33" t="s">
        <v>1291</v>
      </c>
      <c r="J59" s="4">
        <v>170</v>
      </c>
      <c r="K59" s="4">
        <v>61.88</v>
      </c>
      <c r="L59" s="4" t="s">
        <v>1278</v>
      </c>
      <c r="M59" s="4" t="s">
        <v>328</v>
      </c>
      <c r="N59" s="35">
        <v>9493462279</v>
      </c>
      <c r="O59" s="96">
        <v>80.595400000000012</v>
      </c>
      <c r="P59" s="96">
        <f t="shared" si="0"/>
        <v>-18.71540000000001</v>
      </c>
      <c r="Q59" s="25">
        <f t="shared" si="1"/>
        <v>350.26619716000033</v>
      </c>
    </row>
    <row r="60" spans="1:17" ht="15.75" x14ac:dyDescent="0.25">
      <c r="A60" s="4">
        <v>56</v>
      </c>
      <c r="B60" s="33" t="s">
        <v>1292</v>
      </c>
      <c r="C60" s="100">
        <v>367437</v>
      </c>
      <c r="D60" s="33">
        <v>900502140</v>
      </c>
      <c r="E60" s="33" t="s">
        <v>1293</v>
      </c>
      <c r="F60" s="4" t="s">
        <v>37</v>
      </c>
      <c r="G60" s="68">
        <f>459/600*100</f>
        <v>76.5</v>
      </c>
      <c r="H60" s="4" t="s">
        <v>328</v>
      </c>
      <c r="I60" s="33" t="s">
        <v>1294</v>
      </c>
      <c r="J60" s="4">
        <v>188</v>
      </c>
      <c r="K60" s="4">
        <v>66.2</v>
      </c>
      <c r="L60" s="4" t="s">
        <v>1278</v>
      </c>
      <c r="M60" s="4" t="s">
        <v>328</v>
      </c>
      <c r="N60" s="35">
        <v>9493102589</v>
      </c>
      <c r="O60" s="96">
        <v>80.595400000000012</v>
      </c>
      <c r="P60" s="96">
        <f t="shared" si="0"/>
        <v>-14.395400000000009</v>
      </c>
      <c r="Q60" s="25">
        <f t="shared" si="1"/>
        <v>207.22754116000027</v>
      </c>
    </row>
    <row r="61" spans="1:17" ht="15.75" x14ac:dyDescent="0.25">
      <c r="A61" s="4">
        <v>57</v>
      </c>
      <c r="B61" s="33" t="s">
        <v>1295</v>
      </c>
      <c r="C61" s="100">
        <v>164084</v>
      </c>
      <c r="D61" s="33">
        <v>900413176</v>
      </c>
      <c r="E61" s="33" t="s">
        <v>1296</v>
      </c>
      <c r="F61" s="4" t="s">
        <v>41</v>
      </c>
      <c r="G61" s="68">
        <f>563/600*100</f>
        <v>93.833333333333329</v>
      </c>
      <c r="H61" s="4" t="s">
        <v>328</v>
      </c>
      <c r="I61" s="33" t="s">
        <v>1297</v>
      </c>
      <c r="J61" s="4">
        <v>308</v>
      </c>
      <c r="K61" s="4">
        <v>84.85</v>
      </c>
      <c r="L61" s="4" t="s">
        <v>1298</v>
      </c>
      <c r="M61" s="4" t="s">
        <v>328</v>
      </c>
      <c r="N61" s="35">
        <v>9441209723</v>
      </c>
      <c r="O61" s="96">
        <v>80.595400000000012</v>
      </c>
      <c r="P61" s="96">
        <f t="shared" si="0"/>
        <v>4.2545999999999822</v>
      </c>
      <c r="Q61" s="25">
        <f t="shared" si="1"/>
        <v>18.101621159999848</v>
      </c>
    </row>
    <row r="62" spans="1:17" ht="15.75" x14ac:dyDescent="0.25">
      <c r="A62" s="4">
        <v>58</v>
      </c>
      <c r="B62" s="33" t="s">
        <v>1299</v>
      </c>
      <c r="C62" s="100">
        <v>111347</v>
      </c>
      <c r="D62" s="33">
        <v>900413663</v>
      </c>
      <c r="E62" s="33" t="s">
        <v>1300</v>
      </c>
      <c r="F62" s="4" t="s">
        <v>33</v>
      </c>
      <c r="G62" s="68">
        <f>589/600*100</f>
        <v>98.166666666666671</v>
      </c>
      <c r="H62" s="4" t="s">
        <v>328</v>
      </c>
      <c r="I62" s="33" t="s">
        <v>1301</v>
      </c>
      <c r="J62" s="4">
        <v>360</v>
      </c>
      <c r="K62" s="4">
        <v>89.72</v>
      </c>
      <c r="L62" s="4" t="s">
        <v>1298</v>
      </c>
      <c r="M62" s="4" t="s">
        <v>328</v>
      </c>
      <c r="N62" s="35">
        <v>9848105650</v>
      </c>
      <c r="O62" s="96">
        <v>80.595400000000012</v>
      </c>
      <c r="P62" s="96">
        <f t="shared" si="0"/>
        <v>9.1245999999999867</v>
      </c>
      <c r="Q62" s="25">
        <f t="shared" si="1"/>
        <v>83.258325159999757</v>
      </c>
    </row>
    <row r="63" spans="1:17" ht="31.5" x14ac:dyDescent="0.25">
      <c r="A63" s="4">
        <v>59</v>
      </c>
      <c r="B63" s="33" t="s">
        <v>1302</v>
      </c>
      <c r="C63" s="100">
        <v>515193</v>
      </c>
      <c r="D63" s="33">
        <v>900403534</v>
      </c>
      <c r="E63" s="33" t="s">
        <v>1303</v>
      </c>
      <c r="F63" s="4" t="s">
        <v>33</v>
      </c>
      <c r="G63" s="68">
        <f>568/600*100</f>
        <v>94.666666666666671</v>
      </c>
      <c r="H63" s="4" t="s">
        <v>328</v>
      </c>
      <c r="I63" s="33" t="s">
        <v>1304</v>
      </c>
      <c r="J63" s="4">
        <v>138</v>
      </c>
      <c r="K63" s="4">
        <v>52.57</v>
      </c>
      <c r="L63" s="4" t="s">
        <v>1278</v>
      </c>
      <c r="M63" s="4" t="s">
        <v>328</v>
      </c>
      <c r="N63" s="35">
        <v>9440391386</v>
      </c>
      <c r="O63" s="96">
        <v>80.595400000000012</v>
      </c>
      <c r="P63" s="96">
        <f t="shared" si="0"/>
        <v>-28.025400000000012</v>
      </c>
      <c r="Q63" s="25">
        <f t="shared" si="1"/>
        <v>785.4230451600007</v>
      </c>
    </row>
    <row r="64" spans="1:17" ht="31.5" x14ac:dyDescent="0.25">
      <c r="A64" s="4">
        <v>60</v>
      </c>
      <c r="B64" s="33" t="s">
        <v>1305</v>
      </c>
      <c r="C64" s="100">
        <v>308911</v>
      </c>
      <c r="D64" s="33">
        <v>909106994</v>
      </c>
      <c r="E64" s="33" t="s">
        <v>342</v>
      </c>
      <c r="F64" s="4" t="s">
        <v>682</v>
      </c>
      <c r="G64" s="68">
        <f>523/600*100</f>
        <v>87.166666666666671</v>
      </c>
      <c r="H64" s="4" t="s">
        <v>328</v>
      </c>
      <c r="I64" s="33" t="s">
        <v>1306</v>
      </c>
      <c r="J64" s="4">
        <v>214</v>
      </c>
      <c r="K64" s="4">
        <v>71.5</v>
      </c>
      <c r="L64" s="4" t="s">
        <v>1212</v>
      </c>
      <c r="M64" s="4" t="s">
        <v>328</v>
      </c>
      <c r="N64" s="35">
        <v>9640601321</v>
      </c>
      <c r="O64" s="96">
        <v>80.595400000000012</v>
      </c>
      <c r="P64" s="96">
        <f t="shared" si="0"/>
        <v>-9.0954000000000121</v>
      </c>
      <c r="Q64" s="25">
        <f t="shared" si="1"/>
        <v>82.726301160000219</v>
      </c>
    </row>
    <row r="65" spans="1:17" ht="15.75" x14ac:dyDescent="0.25">
      <c r="A65" s="4">
        <v>61</v>
      </c>
      <c r="B65" s="33" t="s">
        <v>1307</v>
      </c>
      <c r="C65" s="100">
        <v>389245</v>
      </c>
      <c r="D65" s="33">
        <v>900405215</v>
      </c>
      <c r="E65" s="33" t="s">
        <v>1308</v>
      </c>
      <c r="F65" s="4" t="s">
        <v>33</v>
      </c>
      <c r="G65" s="68">
        <f>592/600*100</f>
        <v>98.666666666666671</v>
      </c>
      <c r="H65" s="4" t="s">
        <v>328</v>
      </c>
      <c r="I65" s="33" t="s">
        <v>714</v>
      </c>
      <c r="J65" s="4">
        <v>179</v>
      </c>
      <c r="K65" s="4">
        <v>64.12</v>
      </c>
      <c r="L65" s="4" t="s">
        <v>1298</v>
      </c>
      <c r="M65" s="4" t="s">
        <v>328</v>
      </c>
      <c r="N65" s="35">
        <v>9849643666</v>
      </c>
      <c r="O65" s="96">
        <v>80.595400000000012</v>
      </c>
      <c r="P65" s="96">
        <f t="shared" si="0"/>
        <v>-16.475400000000008</v>
      </c>
      <c r="Q65" s="25">
        <f t="shared" si="1"/>
        <v>271.43880516000024</v>
      </c>
    </row>
    <row r="66" spans="1:17" ht="18" customHeight="1" x14ac:dyDescent="0.25">
      <c r="A66" s="4">
        <v>62</v>
      </c>
      <c r="B66" s="33" t="s">
        <v>1309</v>
      </c>
      <c r="C66" s="100">
        <v>321188</v>
      </c>
      <c r="D66" s="33">
        <v>900506681</v>
      </c>
      <c r="E66" s="33" t="s">
        <v>1310</v>
      </c>
      <c r="F66" s="4" t="s">
        <v>37</v>
      </c>
      <c r="G66" s="68">
        <v>91</v>
      </c>
      <c r="H66" s="4" t="s">
        <v>328</v>
      </c>
      <c r="I66" s="33" t="s">
        <v>1017</v>
      </c>
      <c r="J66" s="4">
        <v>208</v>
      </c>
      <c r="K66" s="4">
        <v>70.36</v>
      </c>
      <c r="L66" s="4" t="s">
        <v>1212</v>
      </c>
      <c r="M66" s="4" t="s">
        <v>328</v>
      </c>
      <c r="N66" s="35">
        <v>9849457393</v>
      </c>
      <c r="O66" s="96">
        <v>80.595400000000012</v>
      </c>
      <c r="P66" s="96">
        <f t="shared" si="0"/>
        <v>-10.235400000000013</v>
      </c>
      <c r="Q66" s="25">
        <f t="shared" si="1"/>
        <v>104.76341316000025</v>
      </c>
    </row>
    <row r="67" spans="1:17" ht="31.5" x14ac:dyDescent="0.25">
      <c r="A67" s="4">
        <v>63</v>
      </c>
      <c r="B67" s="33" t="s">
        <v>1311</v>
      </c>
      <c r="C67" s="100">
        <v>418535</v>
      </c>
      <c r="D67" s="33">
        <v>900409868</v>
      </c>
      <c r="E67" s="33" t="s">
        <v>518</v>
      </c>
      <c r="F67" s="4" t="s">
        <v>33</v>
      </c>
      <c r="G67" s="68">
        <v>94</v>
      </c>
      <c r="H67" s="4" t="s">
        <v>328</v>
      </c>
      <c r="I67" s="33" t="s">
        <v>1312</v>
      </c>
      <c r="J67" s="4">
        <v>168</v>
      </c>
      <c r="K67" s="4">
        <v>61.39</v>
      </c>
      <c r="L67" s="4" t="s">
        <v>1212</v>
      </c>
      <c r="M67" s="4" t="s">
        <v>328</v>
      </c>
      <c r="N67" s="35">
        <v>9666857999</v>
      </c>
      <c r="O67" s="96">
        <v>80.595400000000012</v>
      </c>
      <c r="P67" s="96">
        <f t="shared" si="0"/>
        <v>-19.205400000000012</v>
      </c>
      <c r="Q67" s="25">
        <f t="shared" si="1"/>
        <v>368.84738916000043</v>
      </c>
    </row>
    <row r="68" spans="1:17" ht="31.5" x14ac:dyDescent="0.25">
      <c r="A68" s="4">
        <v>64</v>
      </c>
      <c r="B68" s="33" t="s">
        <v>1313</v>
      </c>
      <c r="C68" s="100">
        <v>330123</v>
      </c>
      <c r="D68" s="33">
        <v>900200025</v>
      </c>
      <c r="E68" s="33" t="s">
        <v>1314</v>
      </c>
      <c r="F68" s="4" t="s">
        <v>33</v>
      </c>
      <c r="G68" s="68">
        <v>92.666666666666657</v>
      </c>
      <c r="H68" s="4" t="s">
        <v>328</v>
      </c>
      <c r="I68" s="33" t="s">
        <v>1315</v>
      </c>
      <c r="J68" s="4">
        <v>204</v>
      </c>
      <c r="K68" s="4">
        <v>69.58</v>
      </c>
      <c r="L68" s="4" t="s">
        <v>1316</v>
      </c>
      <c r="M68" s="4" t="s">
        <v>328</v>
      </c>
      <c r="N68" s="35">
        <v>9704416997</v>
      </c>
      <c r="O68" s="96">
        <v>80.595400000000012</v>
      </c>
      <c r="P68" s="96">
        <f t="shared" si="0"/>
        <v>-11.015400000000014</v>
      </c>
      <c r="Q68" s="25">
        <f t="shared" si="1"/>
        <v>121.3390371600003</v>
      </c>
    </row>
    <row r="69" spans="1:17" ht="15.75" x14ac:dyDescent="0.25">
      <c r="A69" s="4">
        <v>65</v>
      </c>
      <c r="B69" s="33" t="s">
        <v>1317</v>
      </c>
      <c r="C69" s="100">
        <v>236129</v>
      </c>
      <c r="D69" s="33">
        <v>909138860</v>
      </c>
      <c r="E69" s="33" t="s">
        <v>1318</v>
      </c>
      <c r="F69" s="4" t="s">
        <v>41</v>
      </c>
      <c r="G69" s="68">
        <v>80.5</v>
      </c>
      <c r="H69" s="4" t="s">
        <v>328</v>
      </c>
      <c r="I69" s="33" t="s">
        <v>1319</v>
      </c>
      <c r="J69" s="4">
        <v>255</v>
      </c>
      <c r="K69" s="4">
        <v>78.2</v>
      </c>
      <c r="L69" s="4" t="s">
        <v>1278</v>
      </c>
      <c r="M69" s="4" t="s">
        <v>328</v>
      </c>
      <c r="N69" s="35">
        <v>9000809944</v>
      </c>
      <c r="O69" s="96">
        <v>80.595400000000012</v>
      </c>
      <c r="P69" s="96">
        <f t="shared" si="0"/>
        <v>-2.3954000000000093</v>
      </c>
      <c r="Q69" s="25">
        <f t="shared" si="1"/>
        <v>5.7379411600000445</v>
      </c>
    </row>
    <row r="70" spans="1:17" ht="31.5" x14ac:dyDescent="0.25">
      <c r="A70" s="4">
        <v>66</v>
      </c>
      <c r="B70" s="33" t="s">
        <v>1320</v>
      </c>
      <c r="C70" s="100">
        <v>520762</v>
      </c>
      <c r="D70" s="33">
        <v>900405201</v>
      </c>
      <c r="E70" s="33" t="s">
        <v>1321</v>
      </c>
      <c r="F70" s="4" t="s">
        <v>33</v>
      </c>
      <c r="G70" s="68">
        <v>68.333333333333329</v>
      </c>
      <c r="H70" s="4" t="s">
        <v>328</v>
      </c>
      <c r="I70" s="33" t="s">
        <v>1322</v>
      </c>
      <c r="J70" s="4">
        <v>136</v>
      </c>
      <c r="K70" s="4">
        <v>51.93</v>
      </c>
      <c r="L70" s="4" t="s">
        <v>1278</v>
      </c>
      <c r="M70" s="4" t="s">
        <v>328</v>
      </c>
      <c r="N70" s="35">
        <v>9704059555</v>
      </c>
      <c r="O70" s="96">
        <v>80.595400000000012</v>
      </c>
      <c r="P70" s="96">
        <f t="shared" ref="P70:P104" si="2">K70-O70</f>
        <v>-28.665400000000012</v>
      </c>
      <c r="Q70" s="25">
        <f t="shared" ref="Q70:Q104" si="3">P70*P70</f>
        <v>821.70515716000068</v>
      </c>
    </row>
    <row r="71" spans="1:17" ht="31.5" x14ac:dyDescent="0.25">
      <c r="A71" s="4">
        <v>67</v>
      </c>
      <c r="B71" s="33" t="s">
        <v>1323</v>
      </c>
      <c r="C71" s="100">
        <v>228295</v>
      </c>
      <c r="D71" s="33">
        <v>900503616</v>
      </c>
      <c r="E71" s="33" t="s">
        <v>1324</v>
      </c>
      <c r="F71" s="4" t="s">
        <v>33</v>
      </c>
      <c r="G71" s="68">
        <v>94.166666666666671</v>
      </c>
      <c r="H71" s="4" t="s">
        <v>328</v>
      </c>
      <c r="I71" s="33" t="s">
        <v>1325</v>
      </c>
      <c r="J71" s="4">
        <v>260</v>
      </c>
      <c r="K71" s="4">
        <v>78.900000000000006</v>
      </c>
      <c r="L71" s="4" t="s">
        <v>1212</v>
      </c>
      <c r="M71" s="4" t="s">
        <v>328</v>
      </c>
      <c r="N71" s="35">
        <v>9959127577</v>
      </c>
      <c r="O71" s="96">
        <v>80.595400000000012</v>
      </c>
      <c r="P71" s="96">
        <f t="shared" si="2"/>
        <v>-1.6954000000000065</v>
      </c>
      <c r="Q71" s="25">
        <f t="shared" si="3"/>
        <v>2.8743811600000218</v>
      </c>
    </row>
    <row r="72" spans="1:17" ht="15.75" x14ac:dyDescent="0.25">
      <c r="A72" s="4">
        <v>68</v>
      </c>
      <c r="B72" s="33" t="s">
        <v>1326</v>
      </c>
      <c r="C72" s="100">
        <v>282378</v>
      </c>
      <c r="D72" s="33">
        <v>900501858</v>
      </c>
      <c r="E72" s="33" t="s">
        <v>1327</v>
      </c>
      <c r="F72" s="4" t="s">
        <v>33</v>
      </c>
      <c r="G72" s="68">
        <v>93.5</v>
      </c>
      <c r="H72" s="4" t="s">
        <v>328</v>
      </c>
      <c r="I72" s="33" t="s">
        <v>1328</v>
      </c>
      <c r="J72" s="4">
        <v>228</v>
      </c>
      <c r="K72" s="4">
        <v>73.989999999999995</v>
      </c>
      <c r="L72" s="4" t="s">
        <v>1212</v>
      </c>
      <c r="M72" s="4" t="s">
        <v>328</v>
      </c>
      <c r="N72" s="35">
        <v>9652152046</v>
      </c>
      <c r="O72" s="96">
        <v>80.595400000000012</v>
      </c>
      <c r="P72" s="96">
        <f t="shared" si="2"/>
        <v>-6.6054000000000173</v>
      </c>
      <c r="Q72" s="25">
        <f t="shared" si="3"/>
        <v>43.631309160000228</v>
      </c>
    </row>
    <row r="73" spans="1:17" ht="31.5" x14ac:dyDescent="0.25">
      <c r="A73" s="4">
        <v>69</v>
      </c>
      <c r="B73" s="33" t="s">
        <v>1329</v>
      </c>
      <c r="C73" s="100">
        <v>234617</v>
      </c>
      <c r="D73" s="33">
        <v>900202015</v>
      </c>
      <c r="E73" s="33" t="s">
        <v>1330</v>
      </c>
      <c r="F73" s="4" t="s">
        <v>33</v>
      </c>
      <c r="G73" s="68">
        <v>97.333333333333343</v>
      </c>
      <c r="H73" s="4" t="s">
        <v>328</v>
      </c>
      <c r="I73" s="33" t="s">
        <v>847</v>
      </c>
      <c r="J73" s="4">
        <v>256</v>
      </c>
      <c r="K73" s="4">
        <v>78.349999999999994</v>
      </c>
      <c r="L73" s="4" t="s">
        <v>1212</v>
      </c>
      <c r="M73" s="4" t="s">
        <v>328</v>
      </c>
      <c r="N73" s="35">
        <v>9247118993</v>
      </c>
      <c r="O73" s="96">
        <v>80.595400000000012</v>
      </c>
      <c r="P73" s="96">
        <f t="shared" si="2"/>
        <v>-2.2454000000000178</v>
      </c>
      <c r="Q73" s="25">
        <f t="shared" si="3"/>
        <v>5.0418211600000804</v>
      </c>
    </row>
    <row r="74" spans="1:17" ht="31.5" x14ac:dyDescent="0.25">
      <c r="A74" s="4">
        <v>70</v>
      </c>
      <c r="B74" s="33" t="s">
        <v>1331</v>
      </c>
      <c r="C74" s="100">
        <v>358847</v>
      </c>
      <c r="D74" s="33">
        <v>900407248</v>
      </c>
      <c r="E74" s="33" t="s">
        <v>1332</v>
      </c>
      <c r="F74" s="4" t="s">
        <v>33</v>
      </c>
      <c r="G74" s="68">
        <v>94.166666666666671</v>
      </c>
      <c r="H74" s="4" t="s">
        <v>328</v>
      </c>
      <c r="I74" s="33" t="s">
        <v>1333</v>
      </c>
      <c r="J74" s="4">
        <v>191</v>
      </c>
      <c r="K74" s="4">
        <v>66.88</v>
      </c>
      <c r="L74" s="4" t="s">
        <v>1334</v>
      </c>
      <c r="M74" s="4" t="s">
        <v>328</v>
      </c>
      <c r="N74" s="35">
        <v>9246474977</v>
      </c>
      <c r="O74" s="96">
        <v>80.595400000000012</v>
      </c>
      <c r="P74" s="96">
        <f t="shared" si="2"/>
        <v>-13.715400000000017</v>
      </c>
      <c r="Q74" s="25">
        <f t="shared" si="3"/>
        <v>188.11219716000045</v>
      </c>
    </row>
    <row r="75" spans="1:17" ht="31.5" x14ac:dyDescent="0.25">
      <c r="A75" s="4">
        <v>71</v>
      </c>
      <c r="B75" s="33" t="s">
        <v>1335</v>
      </c>
      <c r="C75" s="100">
        <v>306171</v>
      </c>
      <c r="D75" s="33">
        <v>900406484</v>
      </c>
      <c r="E75" s="33" t="s">
        <v>1336</v>
      </c>
      <c r="F75" s="4" t="s">
        <v>33</v>
      </c>
      <c r="G75" s="68">
        <v>39.5</v>
      </c>
      <c r="H75" s="4" t="s">
        <v>328</v>
      </c>
      <c r="I75" s="33" t="s">
        <v>1337</v>
      </c>
      <c r="J75" s="4">
        <v>216</v>
      </c>
      <c r="K75" s="4">
        <v>71.88</v>
      </c>
      <c r="L75" s="4" t="s">
        <v>1278</v>
      </c>
      <c r="M75" s="4" t="s">
        <v>328</v>
      </c>
      <c r="N75" s="35">
        <v>9490755130</v>
      </c>
      <c r="O75" s="96">
        <v>80.595400000000012</v>
      </c>
      <c r="P75" s="96">
        <f t="shared" si="2"/>
        <v>-8.7154000000000167</v>
      </c>
      <c r="Q75" s="25">
        <f t="shared" si="3"/>
        <v>75.958197160000296</v>
      </c>
    </row>
    <row r="76" spans="1:17" ht="15.75" x14ac:dyDescent="0.25">
      <c r="A76" s="4">
        <v>72</v>
      </c>
      <c r="B76" s="33" t="s">
        <v>1338</v>
      </c>
      <c r="C76" s="100">
        <v>320270</v>
      </c>
      <c r="D76" s="33">
        <v>900410223</v>
      </c>
      <c r="E76" s="33" t="s">
        <v>1339</v>
      </c>
      <c r="F76" s="4" t="s">
        <v>33</v>
      </c>
      <c r="G76" s="68">
        <v>95.333333333333343</v>
      </c>
      <c r="H76" s="4" t="s">
        <v>328</v>
      </c>
      <c r="I76" s="33" t="s">
        <v>1340</v>
      </c>
      <c r="J76" s="4">
        <v>209</v>
      </c>
      <c r="K76" s="4">
        <v>70.55</v>
      </c>
      <c r="L76" s="4" t="s">
        <v>1212</v>
      </c>
      <c r="M76" s="4" t="s">
        <v>328</v>
      </c>
      <c r="N76" s="35">
        <v>9885226869</v>
      </c>
      <c r="O76" s="96">
        <v>80.595400000000012</v>
      </c>
      <c r="P76" s="96">
        <f t="shared" si="2"/>
        <v>-10.045400000000015</v>
      </c>
      <c r="Q76" s="25">
        <f t="shared" si="3"/>
        <v>100.9100611600003</v>
      </c>
    </row>
    <row r="77" spans="1:17" ht="31.5" x14ac:dyDescent="0.25">
      <c r="A77" s="4">
        <v>73</v>
      </c>
      <c r="B77" s="33" t="s">
        <v>1341</v>
      </c>
      <c r="C77" s="100">
        <v>170435</v>
      </c>
      <c r="D77" s="33">
        <v>900405016</v>
      </c>
      <c r="E77" s="33" t="s">
        <v>1342</v>
      </c>
      <c r="F77" s="4" t="s">
        <v>33</v>
      </c>
      <c r="G77" s="68">
        <v>82.333333333333343</v>
      </c>
      <c r="H77" s="4" t="s">
        <v>328</v>
      </c>
      <c r="I77" s="33" t="s">
        <v>1343</v>
      </c>
      <c r="J77" s="4">
        <v>303</v>
      </c>
      <c r="K77" s="4">
        <v>84.3</v>
      </c>
      <c r="L77" s="4" t="s">
        <v>1298</v>
      </c>
      <c r="M77" s="4" t="s">
        <v>328</v>
      </c>
      <c r="N77" s="35">
        <v>9440770771</v>
      </c>
      <c r="O77" s="96">
        <v>80.595400000000012</v>
      </c>
      <c r="P77" s="96">
        <f t="shared" si="2"/>
        <v>3.704599999999985</v>
      </c>
      <c r="Q77" s="25">
        <f t="shared" si="3"/>
        <v>13.72406115999989</v>
      </c>
    </row>
    <row r="78" spans="1:17" ht="31.5" x14ac:dyDescent="0.25">
      <c r="A78" s="4">
        <v>74</v>
      </c>
      <c r="B78" s="33" t="s">
        <v>1344</v>
      </c>
      <c r="C78" s="100">
        <v>255649</v>
      </c>
      <c r="D78" s="33">
        <v>900400077</v>
      </c>
      <c r="E78" s="33" t="s">
        <v>1345</v>
      </c>
      <c r="F78" s="4" t="s">
        <v>33</v>
      </c>
      <c r="G78" s="68">
        <v>96</v>
      </c>
      <c r="H78" s="4" t="s">
        <v>328</v>
      </c>
      <c r="I78" s="33" t="s">
        <v>1346</v>
      </c>
      <c r="J78" s="4">
        <v>443</v>
      </c>
      <c r="K78" s="4">
        <v>76.42</v>
      </c>
      <c r="L78" s="4" t="s">
        <v>1298</v>
      </c>
      <c r="M78" s="4" t="s">
        <v>328</v>
      </c>
      <c r="N78" s="35">
        <v>9848104184</v>
      </c>
      <c r="O78" s="96">
        <v>80.595400000000012</v>
      </c>
      <c r="P78" s="96">
        <f t="shared" si="2"/>
        <v>-4.1754000000000104</v>
      </c>
      <c r="Q78" s="25">
        <f t="shared" si="3"/>
        <v>17.433965160000088</v>
      </c>
    </row>
    <row r="79" spans="1:17" ht="15.75" x14ac:dyDescent="0.25">
      <c r="A79" s="4">
        <v>75</v>
      </c>
      <c r="B79" s="33" t="s">
        <v>1347</v>
      </c>
      <c r="C79" s="100">
        <v>466666</v>
      </c>
      <c r="D79" s="33">
        <v>900401263</v>
      </c>
      <c r="E79" s="33" t="s">
        <v>1348</v>
      </c>
      <c r="F79" s="4" t="s">
        <v>37</v>
      </c>
      <c r="G79" s="68">
        <v>79.666666666666657</v>
      </c>
      <c r="H79" s="4" t="s">
        <v>328</v>
      </c>
      <c r="I79" s="33" t="s">
        <v>1349</v>
      </c>
      <c r="J79" s="4">
        <v>152</v>
      </c>
      <c r="K79" s="4">
        <v>56.96</v>
      </c>
      <c r="L79" s="4" t="s">
        <v>1212</v>
      </c>
      <c r="M79" s="4" t="s">
        <v>328</v>
      </c>
      <c r="N79" s="35">
        <v>7382255202</v>
      </c>
      <c r="O79" s="96">
        <v>80.595400000000012</v>
      </c>
      <c r="P79" s="96">
        <f t="shared" si="2"/>
        <v>-23.635400000000011</v>
      </c>
      <c r="Q79" s="25">
        <f t="shared" si="3"/>
        <v>558.63213316000054</v>
      </c>
    </row>
    <row r="80" spans="1:17" ht="15.75" x14ac:dyDescent="0.25">
      <c r="A80" s="4">
        <v>76</v>
      </c>
      <c r="B80" s="33" t="s">
        <v>1350</v>
      </c>
      <c r="C80" s="100">
        <v>229648</v>
      </c>
      <c r="D80" s="33">
        <v>900504649</v>
      </c>
      <c r="E80" s="33" t="s">
        <v>1351</v>
      </c>
      <c r="F80" s="4" t="s">
        <v>39</v>
      </c>
      <c r="G80" s="68">
        <v>73.833333333333329</v>
      </c>
      <c r="H80" s="4" t="s">
        <v>328</v>
      </c>
      <c r="I80" s="33" t="s">
        <v>1352</v>
      </c>
      <c r="J80" s="4">
        <v>260</v>
      </c>
      <c r="K80" s="4">
        <v>78.91</v>
      </c>
      <c r="L80" s="4" t="s">
        <v>1212</v>
      </c>
      <c r="M80" s="4" t="s">
        <v>328</v>
      </c>
      <c r="N80" s="35">
        <v>8897576787</v>
      </c>
      <c r="O80" s="96">
        <v>80.595400000000012</v>
      </c>
      <c r="P80" s="96">
        <f t="shared" si="2"/>
        <v>-1.6854000000000156</v>
      </c>
      <c r="Q80" s="25">
        <f t="shared" si="3"/>
        <v>2.8405731600000523</v>
      </c>
    </row>
    <row r="81" spans="1:17" ht="31.5" x14ac:dyDescent="0.25">
      <c r="A81" s="4">
        <v>77</v>
      </c>
      <c r="B81" s="33" t="s">
        <v>1353</v>
      </c>
      <c r="C81" s="100">
        <v>198205</v>
      </c>
      <c r="D81" s="33">
        <v>900504290</v>
      </c>
      <c r="E81" s="33" t="s">
        <v>1354</v>
      </c>
      <c r="F81" s="4" t="s">
        <v>33</v>
      </c>
      <c r="G81" s="68">
        <v>90.333333333333329</v>
      </c>
      <c r="H81" s="4" t="s">
        <v>328</v>
      </c>
      <c r="I81" s="33" t="s">
        <v>1355</v>
      </c>
      <c r="J81" s="4">
        <v>281</v>
      </c>
      <c r="K81" s="4">
        <v>81.709999999999994</v>
      </c>
      <c r="L81" s="4" t="s">
        <v>1334</v>
      </c>
      <c r="M81" s="4" t="s">
        <v>328</v>
      </c>
      <c r="N81" s="35">
        <v>9492777422</v>
      </c>
      <c r="O81" s="96">
        <v>80.595400000000012</v>
      </c>
      <c r="P81" s="96">
        <f t="shared" si="2"/>
        <v>1.1145999999999816</v>
      </c>
      <c r="Q81" s="25">
        <f t="shared" si="3"/>
        <v>1.242333159999959</v>
      </c>
    </row>
    <row r="82" spans="1:17" ht="15.75" x14ac:dyDescent="0.25">
      <c r="A82" s="4">
        <v>78</v>
      </c>
      <c r="B82" s="33" t="s">
        <v>1356</v>
      </c>
      <c r="C82" s="100">
        <v>388991</v>
      </c>
      <c r="D82" s="33">
        <v>900507113</v>
      </c>
      <c r="E82" s="33" t="s">
        <v>1357</v>
      </c>
      <c r="F82" s="4" t="s">
        <v>33</v>
      </c>
      <c r="G82" s="68">
        <v>89.5</v>
      </c>
      <c r="H82" s="4" t="s">
        <v>328</v>
      </c>
      <c r="I82" s="33" t="s">
        <v>843</v>
      </c>
      <c r="J82" s="4">
        <v>179</v>
      </c>
      <c r="K82" s="4">
        <v>64.12</v>
      </c>
      <c r="L82" s="4" t="s">
        <v>1358</v>
      </c>
      <c r="M82" s="4" t="s">
        <v>328</v>
      </c>
      <c r="N82" s="35">
        <v>8297842195</v>
      </c>
      <c r="O82" s="96">
        <v>80.595400000000012</v>
      </c>
      <c r="P82" s="96">
        <f t="shared" si="2"/>
        <v>-16.475400000000008</v>
      </c>
      <c r="Q82" s="25">
        <f t="shared" si="3"/>
        <v>271.43880516000024</v>
      </c>
    </row>
    <row r="83" spans="1:17" ht="15.75" x14ac:dyDescent="0.25">
      <c r="A83" s="4">
        <v>79</v>
      </c>
      <c r="B83" s="33" t="s">
        <v>1359</v>
      </c>
      <c r="C83" s="100">
        <v>488742</v>
      </c>
      <c r="D83" s="33">
        <v>944510250</v>
      </c>
      <c r="E83" s="33" t="s">
        <v>1360</v>
      </c>
      <c r="F83" s="4" t="s">
        <v>61</v>
      </c>
      <c r="G83" s="68">
        <v>83.166666666666671</v>
      </c>
      <c r="H83" s="4" t="s">
        <v>328</v>
      </c>
      <c r="I83" s="33" t="s">
        <v>1361</v>
      </c>
      <c r="J83" s="4">
        <v>145</v>
      </c>
      <c r="K83" s="4">
        <v>54.8</v>
      </c>
      <c r="L83" s="4" t="s">
        <v>1278</v>
      </c>
      <c r="M83" s="4" t="s">
        <v>328</v>
      </c>
      <c r="N83" s="35">
        <v>9423041897</v>
      </c>
      <c r="O83" s="96">
        <v>80.595400000000012</v>
      </c>
      <c r="P83" s="96">
        <f t="shared" si="2"/>
        <v>-25.795400000000015</v>
      </c>
      <c r="Q83" s="25">
        <f t="shared" si="3"/>
        <v>665.40266116000078</v>
      </c>
    </row>
    <row r="84" spans="1:17" ht="15.75" x14ac:dyDescent="0.25">
      <c r="A84" s="4">
        <v>80</v>
      </c>
      <c r="B84" s="33" t="s">
        <v>1362</v>
      </c>
      <c r="C84" s="100">
        <v>327260</v>
      </c>
      <c r="D84" s="33">
        <v>900501704</v>
      </c>
      <c r="E84" s="33" t="s">
        <v>1363</v>
      </c>
      <c r="F84" s="4" t="s">
        <v>41</v>
      </c>
      <c r="G84" s="68">
        <v>88.333333333333329</v>
      </c>
      <c r="H84" s="4" t="s">
        <v>328</v>
      </c>
      <c r="I84" s="33" t="s">
        <v>1364</v>
      </c>
      <c r="J84" s="4">
        <v>205</v>
      </c>
      <c r="K84" s="4">
        <v>69.77</v>
      </c>
      <c r="L84" s="4" t="s">
        <v>1278</v>
      </c>
      <c r="M84" s="4" t="s">
        <v>328</v>
      </c>
      <c r="N84" s="35">
        <v>9014121950</v>
      </c>
      <c r="O84" s="96">
        <v>80.595400000000012</v>
      </c>
      <c r="P84" s="96">
        <f t="shared" si="2"/>
        <v>-10.825400000000016</v>
      </c>
      <c r="Q84" s="25">
        <f t="shared" si="3"/>
        <v>117.18928516000035</v>
      </c>
    </row>
    <row r="85" spans="1:17" ht="15.75" x14ac:dyDescent="0.25">
      <c r="A85" s="4">
        <v>81</v>
      </c>
      <c r="B85" s="33" t="s">
        <v>1365</v>
      </c>
      <c r="C85" s="100">
        <v>373815</v>
      </c>
      <c r="D85" s="33">
        <v>900500753</v>
      </c>
      <c r="E85" s="33" t="s">
        <v>1366</v>
      </c>
      <c r="F85" s="4" t="s">
        <v>61</v>
      </c>
      <c r="G85" s="68">
        <v>87.333333333333329</v>
      </c>
      <c r="H85" s="4" t="s">
        <v>328</v>
      </c>
      <c r="I85" s="33" t="s">
        <v>1367</v>
      </c>
      <c r="J85" s="4">
        <v>185</v>
      </c>
      <c r="K85" s="4">
        <v>65.510000000000005</v>
      </c>
      <c r="L85" s="4" t="s">
        <v>1212</v>
      </c>
      <c r="M85" s="4" t="s">
        <v>328</v>
      </c>
      <c r="N85" s="35">
        <v>9502263141</v>
      </c>
      <c r="O85" s="96">
        <v>80.595400000000012</v>
      </c>
      <c r="P85" s="96">
        <f t="shared" si="2"/>
        <v>-15.085400000000007</v>
      </c>
      <c r="Q85" s="25">
        <f t="shared" si="3"/>
        <v>227.5692931600002</v>
      </c>
    </row>
    <row r="86" spans="1:17" ht="15.75" x14ac:dyDescent="0.25">
      <c r="A86" s="4">
        <v>82</v>
      </c>
      <c r="B86" s="33" t="s">
        <v>1368</v>
      </c>
      <c r="C86" s="100">
        <v>363957</v>
      </c>
      <c r="D86" s="33">
        <v>906018824</v>
      </c>
      <c r="E86" s="33" t="s">
        <v>1369</v>
      </c>
      <c r="F86" s="4" t="s">
        <v>33</v>
      </c>
      <c r="G86" s="68">
        <v>92.5</v>
      </c>
      <c r="H86" s="4" t="s">
        <v>328</v>
      </c>
      <c r="I86" s="33" t="s">
        <v>1370</v>
      </c>
      <c r="J86" s="4">
        <v>189</v>
      </c>
      <c r="K86" s="4">
        <v>66.42</v>
      </c>
      <c r="L86" s="4" t="s">
        <v>1316</v>
      </c>
      <c r="M86" s="4" t="s">
        <v>328</v>
      </c>
      <c r="N86" s="35">
        <v>9021568697</v>
      </c>
      <c r="O86" s="96">
        <v>80.595400000000012</v>
      </c>
      <c r="P86" s="96">
        <f t="shared" si="2"/>
        <v>-14.17540000000001</v>
      </c>
      <c r="Q86" s="25">
        <f t="shared" si="3"/>
        <v>200.94196516000031</v>
      </c>
    </row>
    <row r="87" spans="1:17" ht="15.75" x14ac:dyDescent="0.25">
      <c r="A87" s="4">
        <v>83</v>
      </c>
      <c r="B87" s="70" t="s">
        <v>1371</v>
      </c>
      <c r="C87" s="102">
        <v>105838</v>
      </c>
      <c r="D87" s="70">
        <v>900411222</v>
      </c>
      <c r="E87" s="33" t="s">
        <v>1372</v>
      </c>
      <c r="F87" s="71" t="s">
        <v>33</v>
      </c>
      <c r="G87" s="68">
        <v>96.333333333333343</v>
      </c>
      <c r="H87" s="4" t="s">
        <v>328</v>
      </c>
      <c r="I87" s="33" t="s">
        <v>1373</v>
      </c>
      <c r="J87" s="4">
        <v>367</v>
      </c>
      <c r="K87" s="35">
        <v>90.29</v>
      </c>
      <c r="L87" s="4" t="s">
        <v>1374</v>
      </c>
      <c r="M87" s="4" t="s">
        <v>328</v>
      </c>
      <c r="N87" s="35">
        <v>9885403965</v>
      </c>
      <c r="O87" s="96">
        <v>80.595400000000012</v>
      </c>
      <c r="P87" s="96">
        <f t="shared" si="2"/>
        <v>9.6945999999999941</v>
      </c>
      <c r="Q87" s="25">
        <f t="shared" si="3"/>
        <v>93.985269159999888</v>
      </c>
    </row>
    <row r="88" spans="1:17" ht="30" x14ac:dyDescent="0.25">
      <c r="A88" s="4">
        <v>84</v>
      </c>
      <c r="B88" s="70" t="s">
        <v>1375</v>
      </c>
      <c r="C88" s="102">
        <v>180168</v>
      </c>
      <c r="D88" s="69">
        <v>900407063</v>
      </c>
      <c r="E88" s="33" t="s">
        <v>1376</v>
      </c>
      <c r="F88" s="71" t="s">
        <v>33</v>
      </c>
      <c r="G88" s="68">
        <v>93.666666666666671</v>
      </c>
      <c r="H88" s="4" t="s">
        <v>328</v>
      </c>
      <c r="I88" s="33" t="s">
        <v>93</v>
      </c>
      <c r="J88" s="4">
        <v>295</v>
      </c>
      <c r="K88" s="35">
        <v>83.38</v>
      </c>
      <c r="L88" s="4" t="s">
        <v>1377</v>
      </c>
      <c r="M88" s="4" t="s">
        <v>328</v>
      </c>
      <c r="N88" s="35"/>
      <c r="O88" s="96">
        <v>80.595400000000012</v>
      </c>
      <c r="P88" s="96">
        <f t="shared" si="2"/>
        <v>2.7845999999999833</v>
      </c>
      <c r="Q88" s="25">
        <f t="shared" si="3"/>
        <v>7.7539971599999067</v>
      </c>
    </row>
    <row r="89" spans="1:17" ht="15.75" x14ac:dyDescent="0.25">
      <c r="A89" s="4">
        <v>85</v>
      </c>
      <c r="B89" s="70" t="s">
        <v>1378</v>
      </c>
      <c r="C89" s="102">
        <v>202120</v>
      </c>
      <c r="D89" s="70">
        <v>900404173</v>
      </c>
      <c r="E89" s="33" t="s">
        <v>518</v>
      </c>
      <c r="F89" s="71" t="s">
        <v>33</v>
      </c>
      <c r="G89" s="73">
        <v>95.166666666666671</v>
      </c>
      <c r="H89" s="4" t="s">
        <v>328</v>
      </c>
      <c r="I89" s="33" t="s">
        <v>1250</v>
      </c>
      <c r="J89" s="4">
        <v>278</v>
      </c>
      <c r="K89" s="4">
        <v>81.33</v>
      </c>
      <c r="L89" s="4" t="s">
        <v>1379</v>
      </c>
      <c r="M89" s="4" t="s">
        <v>328</v>
      </c>
      <c r="N89" s="35">
        <v>888511688</v>
      </c>
      <c r="O89" s="96">
        <v>80.595400000000012</v>
      </c>
      <c r="P89" s="96">
        <f t="shared" si="2"/>
        <v>0.73459999999998615</v>
      </c>
      <c r="Q89" s="25">
        <f t="shared" si="3"/>
        <v>0.53963715999997963</v>
      </c>
    </row>
    <row r="90" spans="1:17" ht="15.75" x14ac:dyDescent="0.25">
      <c r="A90" s="4">
        <v>86</v>
      </c>
      <c r="B90" s="70" t="s">
        <v>1380</v>
      </c>
      <c r="C90" s="102">
        <v>230209</v>
      </c>
      <c r="D90" s="70">
        <v>900411485</v>
      </c>
      <c r="E90" s="33" t="s">
        <v>776</v>
      </c>
      <c r="F90" s="69" t="s">
        <v>33</v>
      </c>
      <c r="G90" s="68">
        <v>97</v>
      </c>
      <c r="H90" s="4" t="s">
        <v>328</v>
      </c>
      <c r="I90" s="33" t="s">
        <v>1381</v>
      </c>
      <c r="J90" s="4">
        <v>259</v>
      </c>
      <c r="K90" s="69">
        <v>78.77</v>
      </c>
      <c r="L90" s="4" t="s">
        <v>1374</v>
      </c>
      <c r="M90" s="4" t="s">
        <v>328</v>
      </c>
      <c r="N90" s="35">
        <v>9440222345</v>
      </c>
      <c r="O90" s="96">
        <v>80.595400000000012</v>
      </c>
      <c r="P90" s="96">
        <f t="shared" si="2"/>
        <v>-1.8254000000000161</v>
      </c>
      <c r="Q90" s="25">
        <f t="shared" si="3"/>
        <v>3.3320851600000587</v>
      </c>
    </row>
    <row r="91" spans="1:17" ht="15.75" x14ac:dyDescent="0.25">
      <c r="A91" s="4">
        <v>87</v>
      </c>
      <c r="B91" s="70" t="s">
        <v>1382</v>
      </c>
      <c r="C91" s="102">
        <v>203460</v>
      </c>
      <c r="D91" s="70">
        <v>900402101</v>
      </c>
      <c r="E91" s="33" t="s">
        <v>1254</v>
      </c>
      <c r="F91" s="69" t="s">
        <v>33</v>
      </c>
      <c r="G91" s="68">
        <v>89.666666666666657</v>
      </c>
      <c r="H91" s="4" t="s">
        <v>328</v>
      </c>
      <c r="I91" s="33" t="s">
        <v>1383</v>
      </c>
      <c r="J91" s="4">
        <v>277</v>
      </c>
      <c r="K91" s="69">
        <v>81.209999999999994</v>
      </c>
      <c r="L91" s="4" t="s">
        <v>1316</v>
      </c>
      <c r="M91" s="4" t="s">
        <v>328</v>
      </c>
      <c r="N91" s="35">
        <v>8897582829</v>
      </c>
      <c r="O91" s="96">
        <v>80.595400000000012</v>
      </c>
      <c r="P91" s="96">
        <f t="shared" si="2"/>
        <v>0.61459999999998161</v>
      </c>
      <c r="Q91" s="25">
        <f t="shared" si="3"/>
        <v>0.37773315999997736</v>
      </c>
    </row>
    <row r="92" spans="1:17" ht="15.75" x14ac:dyDescent="0.25">
      <c r="A92" s="4">
        <v>88</v>
      </c>
      <c r="B92" s="70" t="s">
        <v>1384</v>
      </c>
      <c r="C92" s="102">
        <v>239431</v>
      </c>
      <c r="D92" s="70">
        <v>900410857</v>
      </c>
      <c r="E92" s="33" t="s">
        <v>1385</v>
      </c>
      <c r="F92" s="69" t="s">
        <v>41</v>
      </c>
      <c r="G92" s="68">
        <v>99.666666666666671</v>
      </c>
      <c r="H92" s="4" t="s">
        <v>328</v>
      </c>
      <c r="I92" s="33" t="s">
        <v>1386</v>
      </c>
      <c r="J92" s="4">
        <v>253</v>
      </c>
      <c r="K92" s="69">
        <v>77.92</v>
      </c>
      <c r="L92" s="4" t="s">
        <v>1374</v>
      </c>
      <c r="M92" s="4" t="s">
        <v>328</v>
      </c>
      <c r="N92" s="35">
        <v>9032227153</v>
      </c>
      <c r="O92" s="96">
        <v>80.595400000000012</v>
      </c>
      <c r="P92" s="96">
        <f t="shared" si="2"/>
        <v>-2.6754000000000104</v>
      </c>
      <c r="Q92" s="25">
        <f t="shared" si="3"/>
        <v>7.1577651600000562</v>
      </c>
    </row>
    <row r="93" spans="1:17" ht="31.5" x14ac:dyDescent="0.25">
      <c r="A93" s="4">
        <v>89</v>
      </c>
      <c r="B93" s="70" t="s">
        <v>1387</v>
      </c>
      <c r="C93" s="102">
        <v>241573</v>
      </c>
      <c r="D93" s="70">
        <v>900414802</v>
      </c>
      <c r="E93" s="33" t="s">
        <v>1388</v>
      </c>
      <c r="F93" s="69" t="s">
        <v>39</v>
      </c>
      <c r="G93" s="68">
        <v>98</v>
      </c>
      <c r="H93" s="4" t="s">
        <v>328</v>
      </c>
      <c r="I93" s="33" t="s">
        <v>1033</v>
      </c>
      <c r="J93" s="4">
        <v>252</v>
      </c>
      <c r="K93" s="69">
        <v>77.78</v>
      </c>
      <c r="L93" s="4" t="s">
        <v>1379</v>
      </c>
      <c r="M93" s="4" t="s">
        <v>328</v>
      </c>
      <c r="N93" s="35">
        <v>9492450162</v>
      </c>
      <c r="O93" s="96">
        <v>80.595400000000012</v>
      </c>
      <c r="P93" s="96">
        <f t="shared" si="2"/>
        <v>-2.815400000000011</v>
      </c>
      <c r="Q93" s="25">
        <f t="shared" si="3"/>
        <v>7.9264771600000623</v>
      </c>
    </row>
    <row r="94" spans="1:17" ht="31.5" x14ac:dyDescent="0.25">
      <c r="A94" s="4">
        <v>90</v>
      </c>
      <c r="B94" s="70" t="s">
        <v>1389</v>
      </c>
      <c r="C94" s="102">
        <v>269479</v>
      </c>
      <c r="D94" s="70">
        <v>900503214</v>
      </c>
      <c r="E94" s="33" t="s">
        <v>1390</v>
      </c>
      <c r="F94" s="69" t="s">
        <v>37</v>
      </c>
      <c r="G94" s="68">
        <v>88</v>
      </c>
      <c r="H94" s="4" t="s">
        <v>328</v>
      </c>
      <c r="I94" s="33" t="s">
        <v>1391</v>
      </c>
      <c r="J94" s="4">
        <v>235</v>
      </c>
      <c r="K94" s="69">
        <v>75.16</v>
      </c>
      <c r="L94" s="4" t="s">
        <v>1379</v>
      </c>
      <c r="M94" s="4" t="s">
        <v>328</v>
      </c>
      <c r="N94" s="35">
        <v>9182997689</v>
      </c>
      <c r="O94" s="96">
        <v>80.595400000000012</v>
      </c>
      <c r="P94" s="96">
        <f t="shared" si="2"/>
        <v>-5.4354000000000156</v>
      </c>
      <c r="Q94" s="25">
        <f t="shared" si="3"/>
        <v>29.543573160000168</v>
      </c>
    </row>
    <row r="95" spans="1:17" ht="15.75" x14ac:dyDescent="0.25">
      <c r="A95" s="4">
        <v>91</v>
      </c>
      <c r="B95" s="70" t="s">
        <v>1392</v>
      </c>
      <c r="C95" s="102">
        <v>294940</v>
      </c>
      <c r="D95" s="70">
        <v>909111019</v>
      </c>
      <c r="E95" s="33" t="s">
        <v>1393</v>
      </c>
      <c r="F95" s="69" t="s">
        <v>41</v>
      </c>
      <c r="G95" s="68">
        <v>80.166666666666657</v>
      </c>
      <c r="H95" s="4" t="s">
        <v>328</v>
      </c>
      <c r="I95" s="33" t="s">
        <v>1394</v>
      </c>
      <c r="J95" s="4">
        <v>221</v>
      </c>
      <c r="K95" s="69">
        <v>72.77</v>
      </c>
      <c r="L95" s="4" t="s">
        <v>1374</v>
      </c>
      <c r="M95" s="4" t="s">
        <v>328</v>
      </c>
      <c r="N95" s="35">
        <v>9440152430</v>
      </c>
      <c r="O95" s="96">
        <v>80.595400000000012</v>
      </c>
      <c r="P95" s="96">
        <f t="shared" si="2"/>
        <v>-7.8254000000000161</v>
      </c>
      <c r="Q95" s="25">
        <f t="shared" si="3"/>
        <v>61.236885160000256</v>
      </c>
    </row>
    <row r="96" spans="1:17" ht="15.75" x14ac:dyDescent="0.25">
      <c r="A96" s="4">
        <v>92</v>
      </c>
      <c r="B96" s="70" t="s">
        <v>1395</v>
      </c>
      <c r="C96" s="102">
        <v>319259</v>
      </c>
      <c r="D96" s="70">
        <v>900508058</v>
      </c>
      <c r="E96" s="33" t="s">
        <v>518</v>
      </c>
      <c r="F96" s="69" t="s">
        <v>39</v>
      </c>
      <c r="G96" s="68">
        <v>97.166666666666671</v>
      </c>
      <c r="H96" s="4" t="s">
        <v>328</v>
      </c>
      <c r="I96" s="33" t="s">
        <v>1396</v>
      </c>
      <c r="J96" s="4">
        <v>209</v>
      </c>
      <c r="K96" s="69">
        <v>70.55</v>
      </c>
      <c r="L96" s="4" t="s">
        <v>1374</v>
      </c>
      <c r="M96" s="4" t="s">
        <v>328</v>
      </c>
      <c r="N96" s="35">
        <v>9959213191</v>
      </c>
      <c r="O96" s="96">
        <v>80.595400000000012</v>
      </c>
      <c r="P96" s="96">
        <f t="shared" si="2"/>
        <v>-10.045400000000015</v>
      </c>
      <c r="Q96" s="25">
        <f t="shared" si="3"/>
        <v>100.9100611600003</v>
      </c>
    </row>
    <row r="97" spans="1:17" ht="30" x14ac:dyDescent="0.25">
      <c r="A97" s="4">
        <v>93</v>
      </c>
      <c r="B97" s="70" t="s">
        <v>1397</v>
      </c>
      <c r="C97" s="102">
        <v>366480</v>
      </c>
      <c r="D97" s="70">
        <v>900507320</v>
      </c>
      <c r="E97" s="33" t="s">
        <v>1398</v>
      </c>
      <c r="F97" s="69" t="s">
        <v>382</v>
      </c>
      <c r="G97" s="68">
        <v>94.666666666666671</v>
      </c>
      <c r="H97" s="4" t="s">
        <v>328</v>
      </c>
      <c r="I97" s="33" t="s">
        <v>1399</v>
      </c>
      <c r="J97" s="4">
        <v>188</v>
      </c>
      <c r="K97" s="69">
        <v>66.19</v>
      </c>
      <c r="L97" s="4" t="s">
        <v>1379</v>
      </c>
      <c r="M97" s="4" t="s">
        <v>328</v>
      </c>
      <c r="N97" s="35">
        <v>9859442442</v>
      </c>
      <c r="O97" s="96">
        <v>80.595400000000012</v>
      </c>
      <c r="P97" s="96">
        <f t="shared" si="2"/>
        <v>-14.405400000000014</v>
      </c>
      <c r="Q97" s="25">
        <f t="shared" si="3"/>
        <v>207.5155491600004</v>
      </c>
    </row>
    <row r="98" spans="1:17" ht="15.75" x14ac:dyDescent="0.25">
      <c r="A98" s="4">
        <v>94</v>
      </c>
      <c r="B98" s="33" t="s">
        <v>1400</v>
      </c>
      <c r="C98" s="100">
        <v>368598</v>
      </c>
      <c r="D98" s="33">
        <v>900403702</v>
      </c>
      <c r="E98" s="33" t="s">
        <v>1401</v>
      </c>
      <c r="F98" s="69" t="s">
        <v>33</v>
      </c>
      <c r="G98" s="68">
        <v>97</v>
      </c>
      <c r="H98" s="4" t="s">
        <v>328</v>
      </c>
      <c r="I98" s="33" t="s">
        <v>1402</v>
      </c>
      <c r="J98" s="4">
        <v>187</v>
      </c>
      <c r="K98" s="69">
        <v>65.98</v>
      </c>
      <c r="L98" s="4" t="s">
        <v>1379</v>
      </c>
      <c r="M98" s="4" t="s">
        <v>328</v>
      </c>
      <c r="N98" s="35"/>
      <c r="O98" s="96">
        <v>80.595400000000012</v>
      </c>
      <c r="P98" s="96">
        <f t="shared" si="2"/>
        <v>-14.615400000000008</v>
      </c>
      <c r="Q98" s="25">
        <f t="shared" si="3"/>
        <v>213.60991716000024</v>
      </c>
    </row>
    <row r="99" spans="1:17" ht="31.5" x14ac:dyDescent="0.25">
      <c r="A99" s="4">
        <v>95</v>
      </c>
      <c r="B99" s="70" t="s">
        <v>1403</v>
      </c>
      <c r="C99" s="102">
        <v>389283</v>
      </c>
      <c r="D99" s="70">
        <v>900508990</v>
      </c>
      <c r="E99" s="33" t="s">
        <v>1404</v>
      </c>
      <c r="F99" s="69" t="s">
        <v>33</v>
      </c>
      <c r="G99" s="68">
        <v>99.5</v>
      </c>
      <c r="H99" s="4" t="s">
        <v>328</v>
      </c>
      <c r="I99" s="33" t="s">
        <v>1405</v>
      </c>
      <c r="J99" s="4">
        <v>179</v>
      </c>
      <c r="K99" s="69">
        <v>64.12</v>
      </c>
      <c r="L99" s="4" t="s">
        <v>1406</v>
      </c>
      <c r="M99" s="4" t="s">
        <v>328</v>
      </c>
      <c r="N99" s="35">
        <v>9948513289</v>
      </c>
      <c r="O99" s="96">
        <v>80.595400000000012</v>
      </c>
      <c r="P99" s="96">
        <f t="shared" si="2"/>
        <v>-16.475400000000008</v>
      </c>
      <c r="Q99" s="25">
        <f t="shared" si="3"/>
        <v>271.43880516000024</v>
      </c>
    </row>
    <row r="100" spans="1:17" ht="30" x14ac:dyDescent="0.25">
      <c r="A100" s="4">
        <v>96</v>
      </c>
      <c r="B100" s="70" t="s">
        <v>1407</v>
      </c>
      <c r="C100" s="102">
        <v>469207</v>
      </c>
      <c r="D100" s="70">
        <v>909124954</v>
      </c>
      <c r="E100" s="33" t="s">
        <v>1408</v>
      </c>
      <c r="F100" s="69" t="s">
        <v>39</v>
      </c>
      <c r="G100" s="68">
        <v>90.166666666666657</v>
      </c>
      <c r="H100" s="4" t="s">
        <v>328</v>
      </c>
      <c r="I100" s="33" t="s">
        <v>1409</v>
      </c>
      <c r="J100" s="4">
        <v>151</v>
      </c>
      <c r="K100" s="69">
        <v>56.68</v>
      </c>
      <c r="L100" s="4" t="s">
        <v>1374</v>
      </c>
      <c r="M100" s="4" t="s">
        <v>328</v>
      </c>
      <c r="N100" s="35"/>
      <c r="O100" s="96">
        <v>80.595400000000012</v>
      </c>
      <c r="P100" s="96">
        <f t="shared" si="2"/>
        <v>-23.915400000000012</v>
      </c>
      <c r="Q100" s="25">
        <f t="shared" si="3"/>
        <v>571.94635716000062</v>
      </c>
    </row>
    <row r="101" spans="1:17" ht="15.75" x14ac:dyDescent="0.25">
      <c r="A101" s="4">
        <v>97</v>
      </c>
      <c r="B101" s="70" t="s">
        <v>1410</v>
      </c>
      <c r="C101" s="102">
        <v>488157</v>
      </c>
      <c r="D101" s="70">
        <v>900411670</v>
      </c>
      <c r="E101" s="33" t="s">
        <v>1411</v>
      </c>
      <c r="F101" s="69" t="s">
        <v>61</v>
      </c>
      <c r="G101" s="68">
        <v>62.333333333333329</v>
      </c>
      <c r="H101" s="4" t="s">
        <v>328</v>
      </c>
      <c r="I101" s="33" t="s">
        <v>766</v>
      </c>
      <c r="J101" s="4">
        <v>146</v>
      </c>
      <c r="K101" s="69">
        <v>55.17</v>
      </c>
      <c r="L101" s="4" t="s">
        <v>1374</v>
      </c>
      <c r="M101" s="4" t="s">
        <v>328</v>
      </c>
      <c r="N101" s="35">
        <v>7382118927</v>
      </c>
      <c r="O101" s="96">
        <v>80.595400000000012</v>
      </c>
      <c r="P101" s="96">
        <f t="shared" si="2"/>
        <v>-25.42540000000001</v>
      </c>
      <c r="Q101" s="25">
        <f t="shared" si="3"/>
        <v>646.45096516000058</v>
      </c>
    </row>
    <row r="102" spans="1:17" ht="31.5" x14ac:dyDescent="0.25">
      <c r="A102" s="4">
        <v>98</v>
      </c>
      <c r="B102" s="33" t="s">
        <v>1412</v>
      </c>
      <c r="C102" s="100">
        <v>521230</v>
      </c>
      <c r="D102" s="33">
        <v>900503606</v>
      </c>
      <c r="E102" s="33" t="s">
        <v>1413</v>
      </c>
      <c r="F102" s="69" t="s">
        <v>33</v>
      </c>
      <c r="G102" s="68">
        <v>96.5</v>
      </c>
      <c r="H102" s="4" t="s">
        <v>328</v>
      </c>
      <c r="I102" s="33" t="s">
        <v>833</v>
      </c>
      <c r="J102" s="4">
        <v>136</v>
      </c>
      <c r="K102" s="69">
        <v>51.92</v>
      </c>
      <c r="L102" s="4" t="s">
        <v>1374</v>
      </c>
      <c r="M102" s="4" t="s">
        <v>328</v>
      </c>
      <c r="N102" s="35">
        <v>9948038480</v>
      </c>
      <c r="O102" s="96">
        <v>80.595400000000012</v>
      </c>
      <c r="P102" s="96">
        <f t="shared" si="2"/>
        <v>-28.67540000000001</v>
      </c>
      <c r="Q102" s="25">
        <f t="shared" si="3"/>
        <v>822.27856516000065</v>
      </c>
    </row>
    <row r="103" spans="1:17" ht="31.5" x14ac:dyDescent="0.25">
      <c r="A103" s="4">
        <v>99</v>
      </c>
      <c r="B103" s="33" t="s">
        <v>1414</v>
      </c>
      <c r="C103" s="100">
        <v>602806</v>
      </c>
      <c r="D103" s="33">
        <v>900410473</v>
      </c>
      <c r="E103" s="33" t="s">
        <v>1415</v>
      </c>
      <c r="F103" s="69" t="s">
        <v>39</v>
      </c>
      <c r="G103" s="68">
        <v>88.333333333333329</v>
      </c>
      <c r="H103" s="4" t="s">
        <v>328</v>
      </c>
      <c r="I103" s="33" t="s">
        <v>1416</v>
      </c>
      <c r="J103" s="4">
        <v>116</v>
      </c>
      <c r="K103" s="69">
        <v>44.32</v>
      </c>
      <c r="L103" s="4" t="s">
        <v>1374</v>
      </c>
      <c r="M103" s="4" t="s">
        <v>328</v>
      </c>
      <c r="N103" s="35">
        <v>8008246132</v>
      </c>
      <c r="O103" s="96">
        <v>80.595400000000012</v>
      </c>
      <c r="P103" s="96">
        <f t="shared" si="2"/>
        <v>-36.275400000000012</v>
      </c>
      <c r="Q103" s="25">
        <f t="shared" si="3"/>
        <v>1315.9046451600009</v>
      </c>
    </row>
    <row r="104" spans="1:17" ht="15.75" x14ac:dyDescent="0.25">
      <c r="A104" s="4">
        <v>100</v>
      </c>
      <c r="B104" s="33" t="s">
        <v>1417</v>
      </c>
      <c r="C104" s="100">
        <v>641588</v>
      </c>
      <c r="D104" s="33">
        <v>900507717</v>
      </c>
      <c r="E104" s="33" t="s">
        <v>1418</v>
      </c>
      <c r="F104" s="69" t="s">
        <v>39</v>
      </c>
      <c r="G104" s="68">
        <v>87.166666666666671</v>
      </c>
      <c r="H104" s="4" t="s">
        <v>328</v>
      </c>
      <c r="I104" s="33" t="s">
        <v>1419</v>
      </c>
      <c r="J104" s="4">
        <v>108</v>
      </c>
      <c r="K104" s="69">
        <v>40.770000000000003</v>
      </c>
      <c r="L104" s="4" t="s">
        <v>1282</v>
      </c>
      <c r="M104" s="4" t="s">
        <v>328</v>
      </c>
      <c r="N104" s="35">
        <v>9849354047</v>
      </c>
      <c r="O104" s="96">
        <v>80.595400000000012</v>
      </c>
      <c r="P104" s="96">
        <f t="shared" si="2"/>
        <v>-39.825400000000009</v>
      </c>
      <c r="Q104" s="25">
        <f t="shared" si="3"/>
        <v>1586.0624851600007</v>
      </c>
    </row>
    <row r="105" spans="1:17" ht="15.75" x14ac:dyDescent="0.25">
      <c r="A105" s="33"/>
      <c r="B105" s="33"/>
      <c r="C105" s="33"/>
      <c r="D105" s="33"/>
      <c r="E105" s="33"/>
      <c r="F105" s="33"/>
      <c r="G105" s="33"/>
      <c r="H105" s="33"/>
      <c r="I105" s="33"/>
      <c r="J105" s="33"/>
      <c r="K105" s="97">
        <f>SUM(K5:K104)</f>
        <v>8059.5400000000009</v>
      </c>
      <c r="L105" s="33"/>
      <c r="M105" s="33"/>
      <c r="N105" s="103"/>
      <c r="O105" s="103"/>
      <c r="P105" s="103"/>
      <c r="Q105" s="25">
        <f>SUM(Q6:Q104)</f>
        <v>18403.209118839997</v>
      </c>
    </row>
    <row r="106" spans="1:17" ht="15.75" x14ac:dyDescent="0.25">
      <c r="A106" s="33"/>
      <c r="B106" s="33"/>
      <c r="C106" s="33"/>
      <c r="D106" s="33"/>
      <c r="E106" s="33"/>
      <c r="F106" s="33"/>
      <c r="G106" s="33"/>
      <c r="H106" s="33"/>
      <c r="I106" s="33"/>
      <c r="J106" s="33"/>
      <c r="K106" s="97">
        <f>K105/100</f>
        <v>80.595400000000012</v>
      </c>
      <c r="L106" s="33"/>
      <c r="M106" s="33"/>
      <c r="N106" s="103"/>
      <c r="O106" s="103"/>
      <c r="P106" s="103"/>
      <c r="Q106" s="25">
        <f>Q105/100</f>
        <v>184.03209118839996</v>
      </c>
    </row>
    <row r="107" spans="1:17" ht="45" x14ac:dyDescent="0.25">
      <c r="A107" s="74">
        <v>1</v>
      </c>
      <c r="B107" s="122" t="s">
        <v>732</v>
      </c>
      <c r="C107" s="122"/>
      <c r="D107" s="122"/>
      <c r="E107" s="122"/>
      <c r="F107" s="122"/>
      <c r="G107" s="122"/>
      <c r="H107" s="122"/>
      <c r="I107" s="122"/>
      <c r="J107" s="122"/>
      <c r="K107" s="122"/>
      <c r="L107" s="122"/>
      <c r="M107" s="122"/>
      <c r="P107" s="104" t="s">
        <v>1128</v>
      </c>
      <c r="Q107" s="98">
        <v>13.56</v>
      </c>
    </row>
    <row r="108" spans="1:17" ht="15.75" x14ac:dyDescent="0.25">
      <c r="A108" s="74">
        <v>2</v>
      </c>
      <c r="B108" s="122" t="s">
        <v>734</v>
      </c>
      <c r="C108" s="122"/>
      <c r="D108" s="122"/>
      <c r="E108" s="122"/>
      <c r="F108" s="122"/>
      <c r="G108" s="122"/>
      <c r="H108" s="122"/>
      <c r="I108" s="122"/>
      <c r="J108" s="122"/>
      <c r="K108" s="122"/>
      <c r="L108" s="122"/>
      <c r="M108" s="122"/>
    </row>
    <row r="109" spans="1:17" ht="15.75" x14ac:dyDescent="0.25">
      <c r="A109" s="74">
        <v>3</v>
      </c>
      <c r="B109" s="122" t="s">
        <v>735</v>
      </c>
      <c r="C109" s="122"/>
      <c r="D109" s="122"/>
      <c r="E109" s="122"/>
      <c r="F109" s="122"/>
      <c r="G109" s="122"/>
      <c r="H109" s="122"/>
      <c r="I109" s="122"/>
      <c r="J109" s="122"/>
      <c r="K109" s="122"/>
      <c r="L109" s="122"/>
      <c r="M109" s="122"/>
    </row>
    <row r="110" spans="1:17" ht="15.75" x14ac:dyDescent="0.25">
      <c r="A110" s="74">
        <v>4</v>
      </c>
      <c r="B110" s="122" t="s">
        <v>736</v>
      </c>
      <c r="C110" s="122"/>
      <c r="D110" s="122"/>
      <c r="E110" s="122"/>
      <c r="F110" s="122"/>
      <c r="G110" s="122"/>
      <c r="H110" s="122"/>
      <c r="I110" s="122"/>
      <c r="J110" s="122"/>
      <c r="K110" s="122"/>
      <c r="L110" s="122"/>
      <c r="M110" s="122"/>
    </row>
    <row r="111" spans="1:17" ht="15.75" x14ac:dyDescent="0.25">
      <c r="A111" s="74">
        <v>5</v>
      </c>
      <c r="B111" s="122" t="s">
        <v>1420</v>
      </c>
      <c r="C111" s="122"/>
      <c r="D111" s="122"/>
      <c r="E111" s="122"/>
      <c r="F111" s="122"/>
      <c r="G111" s="122"/>
      <c r="H111" s="122"/>
      <c r="I111" s="122"/>
      <c r="J111" s="122"/>
      <c r="K111" s="122"/>
      <c r="L111" s="122"/>
      <c r="M111" s="122"/>
    </row>
    <row r="112" spans="1:17" ht="15.75" x14ac:dyDescent="0.25">
      <c r="A112" s="74">
        <v>6</v>
      </c>
      <c r="B112" s="122" t="s">
        <v>738</v>
      </c>
      <c r="C112" s="122"/>
      <c r="D112" s="122"/>
      <c r="E112" s="122"/>
      <c r="F112" s="122"/>
      <c r="G112" s="122"/>
      <c r="H112" s="122"/>
      <c r="I112" s="122"/>
      <c r="J112" s="122"/>
      <c r="K112" s="122"/>
      <c r="L112" s="122"/>
      <c r="M112" s="122"/>
    </row>
    <row r="113" spans="1:13" ht="15.75" x14ac:dyDescent="0.25">
      <c r="A113" s="74">
        <v>7</v>
      </c>
      <c r="B113" s="122" t="s">
        <v>739</v>
      </c>
      <c r="C113" s="122"/>
      <c r="D113" s="122"/>
      <c r="E113" s="122"/>
      <c r="F113" s="122"/>
      <c r="G113" s="122"/>
      <c r="H113" s="122"/>
      <c r="I113" s="122"/>
      <c r="J113" s="122"/>
      <c r="K113" s="122"/>
      <c r="L113" s="122"/>
      <c r="M113" s="122"/>
    </row>
    <row r="114" spans="1:13" ht="15.75" x14ac:dyDescent="0.25">
      <c r="A114" s="74">
        <v>8</v>
      </c>
      <c r="B114" s="122" t="s">
        <v>1421</v>
      </c>
      <c r="C114" s="122"/>
      <c r="D114" s="122"/>
      <c r="E114" s="122"/>
      <c r="F114" s="122"/>
      <c r="G114" s="122"/>
      <c r="H114" s="122"/>
      <c r="I114" s="122"/>
      <c r="J114" s="122"/>
      <c r="K114" s="122"/>
      <c r="L114" s="122"/>
      <c r="M114" s="122"/>
    </row>
    <row r="115" spans="1:13" ht="15.75" x14ac:dyDescent="0.25">
      <c r="A115" s="74">
        <v>9</v>
      </c>
      <c r="B115" s="122" t="s">
        <v>741</v>
      </c>
      <c r="C115" s="122"/>
      <c r="D115" s="122"/>
      <c r="E115" s="122"/>
      <c r="F115" s="122"/>
      <c r="G115" s="122"/>
      <c r="H115" s="122"/>
      <c r="I115" s="122"/>
      <c r="J115" s="122"/>
      <c r="K115" s="122"/>
      <c r="L115" s="122"/>
      <c r="M115" s="122"/>
    </row>
    <row r="116" spans="1:13" ht="15.75" x14ac:dyDescent="0.25">
      <c r="A116" s="74">
        <v>10</v>
      </c>
      <c r="B116" s="122" t="s">
        <v>1422</v>
      </c>
      <c r="C116" s="122"/>
      <c r="D116" s="122"/>
      <c r="E116" s="122"/>
      <c r="F116" s="122"/>
      <c r="G116" s="122"/>
      <c r="H116" s="122"/>
      <c r="I116" s="122"/>
      <c r="J116" s="122"/>
      <c r="K116" s="122"/>
      <c r="L116" s="122"/>
      <c r="M116" s="122"/>
    </row>
    <row r="117" spans="1:13" ht="15.75" x14ac:dyDescent="0.25">
      <c r="A117" s="77"/>
      <c r="B117" s="77"/>
      <c r="C117" s="77"/>
      <c r="D117" s="77"/>
      <c r="E117" s="77"/>
      <c r="F117" s="77"/>
      <c r="G117" s="77"/>
      <c r="H117" s="77"/>
      <c r="I117" s="77"/>
      <c r="J117" s="77"/>
      <c r="K117" s="77"/>
      <c r="L117" s="77"/>
      <c r="M117" s="77"/>
    </row>
    <row r="118" spans="1:13" ht="15.75" x14ac:dyDescent="0.25">
      <c r="A118" s="77"/>
      <c r="B118" s="121" t="s">
        <v>743</v>
      </c>
      <c r="C118" s="121"/>
      <c r="D118" s="121"/>
      <c r="E118" s="121"/>
      <c r="F118" s="121"/>
      <c r="G118" s="121"/>
      <c r="H118" s="121"/>
      <c r="I118" s="121"/>
      <c r="J118" s="121"/>
      <c r="K118" s="121"/>
      <c r="L118" s="121"/>
      <c r="M118" s="121"/>
    </row>
    <row r="119" spans="1:13" ht="39.75" customHeight="1" x14ac:dyDescent="0.25">
      <c r="A119" s="77"/>
      <c r="B119" s="122" t="s">
        <v>744</v>
      </c>
      <c r="C119" s="122"/>
      <c r="D119" s="122"/>
      <c r="E119" s="122"/>
      <c r="F119" s="122"/>
      <c r="G119" s="122"/>
      <c r="H119" s="122"/>
      <c r="I119" s="122"/>
      <c r="J119" s="122"/>
      <c r="K119" s="122"/>
      <c r="L119" s="122"/>
      <c r="M119" s="122"/>
    </row>
    <row r="120" spans="1:13" ht="40.5" customHeight="1" x14ac:dyDescent="0.25">
      <c r="A120" s="77"/>
      <c r="B120" s="122" t="s">
        <v>745</v>
      </c>
      <c r="C120" s="122"/>
      <c r="D120" s="122"/>
      <c r="E120" s="122"/>
      <c r="F120" s="122"/>
      <c r="G120" s="122"/>
      <c r="H120" s="122"/>
      <c r="I120" s="122"/>
      <c r="J120" s="122"/>
      <c r="K120" s="122"/>
      <c r="L120" s="122"/>
      <c r="M120" s="122"/>
    </row>
    <row r="121" spans="1:13" ht="15.75" x14ac:dyDescent="0.25">
      <c r="A121" s="77"/>
      <c r="B121" s="77"/>
      <c r="C121" s="77"/>
      <c r="D121" s="77"/>
      <c r="E121" s="77"/>
      <c r="F121" s="77"/>
      <c r="G121" s="77"/>
      <c r="H121" s="77"/>
      <c r="I121" s="77"/>
      <c r="J121" s="77"/>
      <c r="K121" s="77"/>
      <c r="L121" s="77"/>
      <c r="M121" s="77"/>
    </row>
    <row r="122" spans="1:13" ht="15.75" x14ac:dyDescent="0.25">
      <c r="A122" s="77"/>
      <c r="B122" s="77"/>
      <c r="C122" s="77"/>
      <c r="D122" s="77"/>
      <c r="E122" s="77"/>
      <c r="F122" s="77"/>
      <c r="G122" s="77"/>
      <c r="H122" s="77"/>
      <c r="I122" s="77"/>
      <c r="J122" s="77"/>
      <c r="K122" s="77"/>
      <c r="L122" s="77"/>
      <c r="M122" s="77"/>
    </row>
    <row r="124" spans="1:13" ht="15.75" x14ac:dyDescent="0.25">
      <c r="I124" s="123" t="s">
        <v>746</v>
      </c>
      <c r="J124" s="123"/>
      <c r="K124" s="123"/>
    </row>
  </sheetData>
  <mergeCells count="16">
    <mergeCell ref="B110:M110"/>
    <mergeCell ref="A1:M1"/>
    <mergeCell ref="A2:M2"/>
    <mergeCell ref="B107:M107"/>
    <mergeCell ref="B108:M108"/>
    <mergeCell ref="B109:M109"/>
    <mergeCell ref="B118:M118"/>
    <mergeCell ref="B119:M119"/>
    <mergeCell ref="B120:M120"/>
    <mergeCell ref="I124:K124"/>
    <mergeCell ref="B111:M111"/>
    <mergeCell ref="B112:M112"/>
    <mergeCell ref="B113:M113"/>
    <mergeCell ref="B114:M114"/>
    <mergeCell ref="B115:M115"/>
    <mergeCell ref="B116:M116"/>
  </mergeCells>
  <pageMargins left="0.3" right="0.17" top="0.42" bottom="0.44" header="0.3" footer="0.3"/>
  <pageSetup paperSize="9" scale="70" fitToHeight="0" orientation="landscape" r:id="rId1"/>
  <headerFooter>
    <oddFooter>Page &amp;P of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24"/>
  <sheetViews>
    <sheetView topLeftCell="A117" workbookViewId="0">
      <selection activeCell="G123" sqref="G123"/>
    </sheetView>
  </sheetViews>
  <sheetFormatPr defaultRowHeight="15" x14ac:dyDescent="0.25"/>
  <cols>
    <col min="1" max="1" width="4.5703125" style="99" customWidth="1"/>
    <col min="2" max="2" width="27.28515625" style="99" customWidth="1"/>
    <col min="3" max="3" width="11" style="99" customWidth="1"/>
    <col min="4" max="4" width="24.85546875" style="99" customWidth="1"/>
    <col min="5" max="5" width="6.42578125" style="99" customWidth="1"/>
    <col min="6" max="6" width="12.42578125" style="99" customWidth="1"/>
    <col min="7" max="7" width="13" style="99" customWidth="1"/>
    <col min="8" max="8" width="11.42578125" style="99" customWidth="1"/>
    <col min="9" max="9" width="9.140625" style="99"/>
    <col min="10" max="10" width="16.85546875" style="99" customWidth="1"/>
    <col min="11" max="11" width="11.5703125" style="99" customWidth="1"/>
    <col min="12" max="12" width="12" style="99" customWidth="1"/>
    <col min="13" max="16384" width="9.140625" style="99"/>
  </cols>
  <sheetData>
    <row r="1" spans="1:12" ht="18.75" x14ac:dyDescent="0.3">
      <c r="A1" s="118" t="s">
        <v>0</v>
      </c>
      <c r="B1" s="118"/>
      <c r="C1" s="118"/>
      <c r="D1" s="118"/>
      <c r="E1" s="118"/>
      <c r="F1" s="118"/>
      <c r="G1" s="118"/>
      <c r="H1" s="118"/>
      <c r="I1" s="118"/>
      <c r="J1" s="118"/>
      <c r="K1" s="118"/>
      <c r="L1" s="118"/>
    </row>
    <row r="2" spans="1:12" ht="24" customHeight="1" x14ac:dyDescent="0.25">
      <c r="A2" s="127" t="s">
        <v>1423</v>
      </c>
      <c r="B2" s="127"/>
      <c r="C2" s="127"/>
      <c r="D2" s="127"/>
      <c r="E2" s="127"/>
      <c r="F2" s="127"/>
      <c r="G2" s="127"/>
      <c r="H2" s="127"/>
      <c r="I2" s="127"/>
      <c r="J2" s="127"/>
      <c r="K2" s="127"/>
      <c r="L2" s="127"/>
    </row>
    <row r="3" spans="1:12" ht="204.75" x14ac:dyDescent="0.25">
      <c r="A3" s="4" t="s">
        <v>1</v>
      </c>
      <c r="B3" s="4" t="s">
        <v>2</v>
      </c>
      <c r="C3" s="4" t="s">
        <v>3</v>
      </c>
      <c r="D3" s="4" t="s">
        <v>319</v>
      </c>
      <c r="E3" s="22" t="s">
        <v>4</v>
      </c>
      <c r="F3" s="4" t="s">
        <v>5</v>
      </c>
      <c r="G3" s="4" t="s">
        <v>6</v>
      </c>
      <c r="H3" s="4" t="s">
        <v>7</v>
      </c>
      <c r="I3" s="4" t="s">
        <v>748</v>
      </c>
      <c r="J3" s="22" t="s">
        <v>1424</v>
      </c>
      <c r="K3" s="22" t="s">
        <v>8</v>
      </c>
      <c r="L3" s="4" t="s">
        <v>1425</v>
      </c>
    </row>
    <row r="4" spans="1:12" ht="15.75" x14ac:dyDescent="0.25">
      <c r="A4" s="47">
        <v>1</v>
      </c>
      <c r="B4" s="47">
        <v>2</v>
      </c>
      <c r="C4" s="47">
        <v>3</v>
      </c>
      <c r="D4" s="47">
        <v>4</v>
      </c>
      <c r="E4" s="47">
        <v>5</v>
      </c>
      <c r="F4" s="47">
        <v>6</v>
      </c>
      <c r="G4" s="47">
        <v>7</v>
      </c>
      <c r="H4" s="47">
        <v>8</v>
      </c>
      <c r="I4" s="47">
        <v>9</v>
      </c>
      <c r="J4" s="47">
        <v>10</v>
      </c>
      <c r="K4" s="47">
        <v>11</v>
      </c>
      <c r="L4" s="47">
        <v>12</v>
      </c>
    </row>
    <row r="5" spans="1:12" ht="31.5" x14ac:dyDescent="0.25">
      <c r="A5" s="4">
        <v>1</v>
      </c>
      <c r="B5" s="33" t="s">
        <v>1426</v>
      </c>
      <c r="C5" s="33" t="s">
        <v>1427</v>
      </c>
      <c r="D5" s="4" t="s">
        <v>1428</v>
      </c>
      <c r="E5" s="4" t="s">
        <v>61</v>
      </c>
      <c r="F5" s="61">
        <v>94.83</v>
      </c>
      <c r="G5" s="4" t="s">
        <v>328</v>
      </c>
      <c r="H5" s="4" t="s">
        <v>1429</v>
      </c>
      <c r="I5" s="4" t="s">
        <v>1429</v>
      </c>
      <c r="J5" s="4">
        <v>76.599999999999994</v>
      </c>
      <c r="K5" s="4" t="s">
        <v>1430</v>
      </c>
      <c r="L5" s="4" t="s">
        <v>1429</v>
      </c>
    </row>
    <row r="6" spans="1:12" ht="31.5" x14ac:dyDescent="0.25">
      <c r="A6" s="4">
        <v>2</v>
      </c>
      <c r="B6" s="33" t="s">
        <v>1431</v>
      </c>
      <c r="C6" s="33" t="s">
        <v>1432</v>
      </c>
      <c r="D6" s="4" t="s">
        <v>1433</v>
      </c>
      <c r="E6" s="4" t="s">
        <v>39</v>
      </c>
      <c r="F6" s="61">
        <f>(120+59+57+60+57+48+53+60+29+30)/600*100</f>
        <v>95.5</v>
      </c>
      <c r="G6" s="4" t="s">
        <v>328</v>
      </c>
      <c r="H6" s="4" t="s">
        <v>1429</v>
      </c>
      <c r="I6" s="4" t="s">
        <v>1429</v>
      </c>
      <c r="J6" s="4" t="s">
        <v>1434</v>
      </c>
      <c r="K6" s="4" t="s">
        <v>1430</v>
      </c>
      <c r="L6" s="4" t="s">
        <v>1429</v>
      </c>
    </row>
    <row r="7" spans="1:12" ht="31.5" x14ac:dyDescent="0.25">
      <c r="A7" s="4">
        <v>3</v>
      </c>
      <c r="B7" s="33" t="s">
        <v>1435</v>
      </c>
      <c r="C7" s="33" t="s">
        <v>1436</v>
      </c>
      <c r="D7" s="4" t="s">
        <v>1437</v>
      </c>
      <c r="E7" s="4" t="s">
        <v>33</v>
      </c>
      <c r="F7" s="61">
        <v>96.1</v>
      </c>
      <c r="G7" s="4" t="s">
        <v>328</v>
      </c>
      <c r="H7" s="4" t="s">
        <v>1429</v>
      </c>
      <c r="I7" s="4" t="s">
        <v>1429</v>
      </c>
      <c r="J7" s="4">
        <v>79.349999999999994</v>
      </c>
      <c r="K7" s="4" t="s">
        <v>1438</v>
      </c>
      <c r="L7" s="4" t="s">
        <v>1429</v>
      </c>
    </row>
    <row r="8" spans="1:12" ht="31.5" x14ac:dyDescent="0.25">
      <c r="A8" s="4">
        <v>4</v>
      </c>
      <c r="B8" s="33" t="s">
        <v>1439</v>
      </c>
      <c r="C8" s="33" t="s">
        <v>984</v>
      </c>
      <c r="D8" s="4" t="s">
        <v>1440</v>
      </c>
      <c r="E8" s="4" t="s">
        <v>43</v>
      </c>
      <c r="F8" s="61">
        <v>98.8</v>
      </c>
      <c r="G8" s="4" t="s">
        <v>328</v>
      </c>
      <c r="H8" s="4" t="s">
        <v>1429</v>
      </c>
      <c r="I8" s="4" t="s">
        <v>1429</v>
      </c>
      <c r="J8" s="4">
        <v>73.92</v>
      </c>
      <c r="K8" s="4" t="s">
        <v>1441</v>
      </c>
      <c r="L8" s="4" t="s">
        <v>1429</v>
      </c>
    </row>
    <row r="9" spans="1:12" ht="31.5" x14ac:dyDescent="0.25">
      <c r="A9" s="4">
        <v>5</v>
      </c>
      <c r="B9" s="33" t="s">
        <v>1442</v>
      </c>
      <c r="C9" s="33" t="s">
        <v>1443</v>
      </c>
      <c r="D9" s="4" t="s">
        <v>1444</v>
      </c>
      <c r="E9" s="4" t="s">
        <v>50</v>
      </c>
      <c r="F9" s="61">
        <v>92.8</v>
      </c>
      <c r="G9" s="4" t="s">
        <v>328</v>
      </c>
      <c r="H9" s="4" t="s">
        <v>1429</v>
      </c>
      <c r="I9" s="4" t="s">
        <v>1429</v>
      </c>
      <c r="J9" s="4">
        <v>71</v>
      </c>
      <c r="K9" s="4" t="s">
        <v>1441</v>
      </c>
      <c r="L9" s="4" t="s">
        <v>1429</v>
      </c>
    </row>
    <row r="10" spans="1:12" ht="31.5" x14ac:dyDescent="0.25">
      <c r="A10" s="4">
        <v>6</v>
      </c>
      <c r="B10" s="33" t="s">
        <v>1445</v>
      </c>
      <c r="C10" s="33" t="s">
        <v>1446</v>
      </c>
      <c r="D10" s="4" t="s">
        <v>1447</v>
      </c>
      <c r="E10" s="4" t="s">
        <v>33</v>
      </c>
      <c r="F10" s="61">
        <v>92.5</v>
      </c>
      <c r="G10" s="4" t="s">
        <v>328</v>
      </c>
      <c r="H10" s="4" t="s">
        <v>1429</v>
      </c>
      <c r="I10" s="4" t="s">
        <v>1429</v>
      </c>
      <c r="J10" s="4">
        <v>75.62</v>
      </c>
      <c r="K10" s="4" t="s">
        <v>1448</v>
      </c>
      <c r="L10" s="4" t="s">
        <v>1429</v>
      </c>
    </row>
    <row r="11" spans="1:12" ht="31.5" x14ac:dyDescent="0.25">
      <c r="A11" s="4">
        <v>7</v>
      </c>
      <c r="B11" s="33" t="s">
        <v>1449</v>
      </c>
      <c r="C11" s="33" t="s">
        <v>807</v>
      </c>
      <c r="D11" s="4" t="s">
        <v>1450</v>
      </c>
      <c r="E11" s="4" t="s">
        <v>39</v>
      </c>
      <c r="F11" s="61">
        <v>90.33</v>
      </c>
      <c r="G11" s="4" t="s">
        <v>328</v>
      </c>
      <c r="H11" s="4" t="s">
        <v>1429</v>
      </c>
      <c r="I11" s="4" t="s">
        <v>1429</v>
      </c>
      <c r="J11" s="4">
        <v>74.81</v>
      </c>
      <c r="K11" s="4" t="s">
        <v>1448</v>
      </c>
      <c r="L11" s="4" t="s">
        <v>1429</v>
      </c>
    </row>
    <row r="12" spans="1:12" ht="31.5" x14ac:dyDescent="0.25">
      <c r="A12" s="4">
        <v>8</v>
      </c>
      <c r="B12" s="33" t="s">
        <v>1451</v>
      </c>
      <c r="C12" s="33" t="s">
        <v>1452</v>
      </c>
      <c r="D12" s="4" t="s">
        <v>1453</v>
      </c>
      <c r="E12" s="4" t="s">
        <v>37</v>
      </c>
      <c r="F12" s="61">
        <v>96.16</v>
      </c>
      <c r="G12" s="4" t="s">
        <v>328</v>
      </c>
      <c r="H12" s="4" t="s">
        <v>1429</v>
      </c>
      <c r="I12" s="4" t="s">
        <v>1429</v>
      </c>
      <c r="J12" s="4">
        <v>69.81</v>
      </c>
      <c r="K12" s="4" t="s">
        <v>1448</v>
      </c>
      <c r="L12" s="4" t="s">
        <v>1429</v>
      </c>
    </row>
    <row r="13" spans="1:12" ht="31.5" x14ac:dyDescent="0.25">
      <c r="A13" s="4">
        <v>9</v>
      </c>
      <c r="B13" s="33" t="s">
        <v>1454</v>
      </c>
      <c r="C13" s="33" t="s">
        <v>1455</v>
      </c>
      <c r="D13" s="4" t="s">
        <v>1456</v>
      </c>
      <c r="E13" s="4" t="s">
        <v>46</v>
      </c>
      <c r="F13" s="61">
        <v>85</v>
      </c>
      <c r="G13" s="4" t="s">
        <v>328</v>
      </c>
      <c r="H13" s="4" t="s">
        <v>1429</v>
      </c>
      <c r="I13" s="4" t="s">
        <v>1429</v>
      </c>
      <c r="J13" s="4">
        <v>61.09</v>
      </c>
      <c r="K13" s="4" t="s">
        <v>1448</v>
      </c>
      <c r="L13" s="4" t="s">
        <v>1429</v>
      </c>
    </row>
    <row r="14" spans="1:12" ht="31.5" x14ac:dyDescent="0.25">
      <c r="A14" s="4">
        <v>10</v>
      </c>
      <c r="B14" s="33" t="s">
        <v>1457</v>
      </c>
      <c r="C14" s="33" t="s">
        <v>1458</v>
      </c>
      <c r="D14" s="4" t="s">
        <v>1459</v>
      </c>
      <c r="E14" s="4" t="s">
        <v>39</v>
      </c>
      <c r="F14" s="61">
        <f>(58+60+59+50+60+46+54+54+27+28+28+28)/600*100</f>
        <v>92</v>
      </c>
      <c r="G14" s="4" t="s">
        <v>328</v>
      </c>
      <c r="H14" s="4" t="s">
        <v>1429</v>
      </c>
      <c r="I14" s="4" t="s">
        <v>1429</v>
      </c>
      <c r="J14" s="4">
        <v>74.56</v>
      </c>
      <c r="K14" s="4" t="s">
        <v>1448</v>
      </c>
      <c r="L14" s="4" t="s">
        <v>1429</v>
      </c>
    </row>
    <row r="15" spans="1:12" ht="31.5" x14ac:dyDescent="0.25">
      <c r="A15" s="4">
        <v>11</v>
      </c>
      <c r="B15" s="33" t="s">
        <v>1460</v>
      </c>
      <c r="C15" s="33" t="s">
        <v>1461</v>
      </c>
      <c r="D15" s="4" t="s">
        <v>1462</v>
      </c>
      <c r="E15" s="4" t="s">
        <v>39</v>
      </c>
      <c r="F15" s="61">
        <f>(59+59+53+60+58+54+55+60+30+29+30+30)/600*100</f>
        <v>96.166666666666671</v>
      </c>
      <c r="G15" s="4" t="s">
        <v>328</v>
      </c>
      <c r="H15" s="4" t="s">
        <v>1429</v>
      </c>
      <c r="I15" s="4" t="s">
        <v>1429</v>
      </c>
      <c r="J15" s="4">
        <v>74.099999999999994</v>
      </c>
      <c r="K15" s="4" t="s">
        <v>1448</v>
      </c>
      <c r="L15" s="4" t="s">
        <v>1429</v>
      </c>
    </row>
    <row r="16" spans="1:12" ht="31.5" x14ac:dyDescent="0.25">
      <c r="A16" s="4">
        <v>12</v>
      </c>
      <c r="B16" s="33" t="s">
        <v>1463</v>
      </c>
      <c r="C16" s="33" t="s">
        <v>1464</v>
      </c>
      <c r="D16" s="4" t="s">
        <v>717</v>
      </c>
      <c r="E16" s="4" t="s">
        <v>41</v>
      </c>
      <c r="F16" s="61">
        <f>(55+57+58+56+60+57+48+55+120)/600*100</f>
        <v>94.333333333333343</v>
      </c>
      <c r="G16" s="4" t="s">
        <v>328</v>
      </c>
      <c r="H16" s="4" t="s">
        <v>1429</v>
      </c>
      <c r="I16" s="4" t="s">
        <v>1429</v>
      </c>
      <c r="J16" s="4">
        <v>73.27</v>
      </c>
      <c r="K16" s="4" t="s">
        <v>1448</v>
      </c>
      <c r="L16" s="4" t="s">
        <v>1429</v>
      </c>
    </row>
    <row r="17" spans="1:12" ht="31.5" x14ac:dyDescent="0.25">
      <c r="A17" s="4">
        <v>13</v>
      </c>
      <c r="B17" s="33" t="s">
        <v>1465</v>
      </c>
      <c r="C17" s="33" t="s">
        <v>1466</v>
      </c>
      <c r="D17" s="4" t="s">
        <v>1467</v>
      </c>
      <c r="E17" s="4" t="s">
        <v>33</v>
      </c>
      <c r="F17" s="61">
        <f>(60+53+57+60+54+53+34+56+30+30+30+29)/600*100</f>
        <v>91</v>
      </c>
      <c r="G17" s="4" t="s">
        <v>328</v>
      </c>
      <c r="H17" s="4" t="s">
        <v>1429</v>
      </c>
      <c r="I17" s="4" t="s">
        <v>1429</v>
      </c>
      <c r="J17" s="4">
        <v>75.709999999999994</v>
      </c>
      <c r="K17" s="4" t="s">
        <v>1448</v>
      </c>
      <c r="L17" s="4" t="s">
        <v>1429</v>
      </c>
    </row>
    <row r="18" spans="1:12" ht="31.5" x14ac:dyDescent="0.25">
      <c r="A18" s="4">
        <v>14</v>
      </c>
      <c r="B18" s="33" t="s">
        <v>1468</v>
      </c>
      <c r="C18" s="33" t="s">
        <v>1469</v>
      </c>
      <c r="D18" s="4" t="s">
        <v>1470</v>
      </c>
      <c r="E18" s="4" t="s">
        <v>39</v>
      </c>
      <c r="F18" s="61">
        <f>(60+60+60+59+60+60+60+60+30+30+30+30)/600*100</f>
        <v>99.833333333333329</v>
      </c>
      <c r="G18" s="4" t="s">
        <v>328</v>
      </c>
      <c r="H18" s="4" t="s">
        <v>1429</v>
      </c>
      <c r="I18" s="4" t="s">
        <v>1429</v>
      </c>
      <c r="J18" s="4">
        <v>75.11</v>
      </c>
      <c r="K18" s="4" t="s">
        <v>1448</v>
      </c>
      <c r="L18" s="4" t="s">
        <v>1429</v>
      </c>
    </row>
    <row r="19" spans="1:12" ht="31.5" x14ac:dyDescent="0.25">
      <c r="A19" s="4">
        <v>15</v>
      </c>
      <c r="B19" s="33" t="s">
        <v>1471</v>
      </c>
      <c r="C19" s="33" t="s">
        <v>1472</v>
      </c>
      <c r="D19" s="4" t="s">
        <v>1473</v>
      </c>
      <c r="E19" s="4" t="s">
        <v>33</v>
      </c>
      <c r="F19" s="61">
        <f>(60+60+58+56+60+60+41+52+120)/600*100</f>
        <v>94.5</v>
      </c>
      <c r="G19" s="4" t="s">
        <v>328</v>
      </c>
      <c r="H19" s="4" t="s">
        <v>1429</v>
      </c>
      <c r="I19" s="4" t="s">
        <v>1429</v>
      </c>
      <c r="J19" s="4">
        <v>75.180000000000007</v>
      </c>
      <c r="K19" s="4" t="s">
        <v>1448</v>
      </c>
      <c r="L19" s="4" t="s">
        <v>1429</v>
      </c>
    </row>
    <row r="20" spans="1:12" ht="31.5" x14ac:dyDescent="0.25">
      <c r="A20" s="4">
        <v>16</v>
      </c>
      <c r="B20" s="33" t="s">
        <v>1474</v>
      </c>
      <c r="C20" s="33" t="s">
        <v>1475</v>
      </c>
      <c r="D20" s="4" t="s">
        <v>1476</v>
      </c>
      <c r="E20" s="4" t="s">
        <v>33</v>
      </c>
      <c r="F20" s="61">
        <f>(55+55+58+59+56+51+56+56+30+30+30+30)/600*100</f>
        <v>94.333333333333343</v>
      </c>
      <c r="G20" s="4" t="s">
        <v>328</v>
      </c>
      <c r="H20" s="4" t="s">
        <v>1429</v>
      </c>
      <c r="I20" s="4" t="s">
        <v>1429</v>
      </c>
      <c r="J20" s="4">
        <v>75.14</v>
      </c>
      <c r="K20" s="4" t="s">
        <v>1448</v>
      </c>
      <c r="L20" s="4" t="s">
        <v>1429</v>
      </c>
    </row>
    <row r="21" spans="1:12" ht="31.5" x14ac:dyDescent="0.25">
      <c r="A21" s="4">
        <v>17</v>
      </c>
      <c r="B21" s="33" t="s">
        <v>1477</v>
      </c>
      <c r="C21" s="33" t="s">
        <v>1478</v>
      </c>
      <c r="D21" s="4" t="s">
        <v>1479</v>
      </c>
      <c r="E21" s="4" t="s">
        <v>33</v>
      </c>
      <c r="F21" s="61">
        <f>(56+44+43+50+42+48+34+51+27+28+28+26)/600*100</f>
        <v>79.5</v>
      </c>
      <c r="G21" s="4" t="s">
        <v>328</v>
      </c>
      <c r="H21" s="4" t="s">
        <v>1429</v>
      </c>
      <c r="I21" s="4" t="s">
        <v>1429</v>
      </c>
      <c r="J21" s="4">
        <v>76.12</v>
      </c>
      <c r="K21" s="4" t="s">
        <v>1448</v>
      </c>
      <c r="L21" s="4" t="s">
        <v>1429</v>
      </c>
    </row>
    <row r="22" spans="1:12" ht="31.5" x14ac:dyDescent="0.25">
      <c r="A22" s="4">
        <v>18</v>
      </c>
      <c r="B22" s="33" t="s">
        <v>1480</v>
      </c>
      <c r="C22" s="33" t="s">
        <v>1481</v>
      </c>
      <c r="D22" s="4" t="s">
        <v>1482</v>
      </c>
      <c r="E22" s="4" t="s">
        <v>50</v>
      </c>
      <c r="F22" s="61">
        <f>(60+58+58+59+60+57+54+57+30+30+30+30)/600*100</f>
        <v>97.166666666666671</v>
      </c>
      <c r="G22" s="4" t="s">
        <v>328</v>
      </c>
      <c r="H22" s="4" t="s">
        <v>1429</v>
      </c>
      <c r="I22" s="4" t="s">
        <v>1429</v>
      </c>
      <c r="J22" s="4">
        <v>73.040000000000006</v>
      </c>
      <c r="K22" s="4" t="s">
        <v>1448</v>
      </c>
      <c r="L22" s="4" t="s">
        <v>1429</v>
      </c>
    </row>
    <row r="23" spans="1:12" ht="31.5" x14ac:dyDescent="0.25">
      <c r="A23" s="4">
        <v>19</v>
      </c>
      <c r="B23" s="33" t="s">
        <v>1483</v>
      </c>
      <c r="C23" s="33" t="s">
        <v>1466</v>
      </c>
      <c r="D23" s="4" t="s">
        <v>1484</v>
      </c>
      <c r="E23" s="4" t="s">
        <v>46</v>
      </c>
      <c r="F23" s="61">
        <f>(47+34+47+38+53+40+46+51+28+30+25+26)/600*100</f>
        <v>77.5</v>
      </c>
      <c r="G23" s="4" t="s">
        <v>328</v>
      </c>
      <c r="H23" s="4" t="s">
        <v>1429</v>
      </c>
      <c r="I23" s="4" t="s">
        <v>1429</v>
      </c>
      <c r="J23" s="4">
        <v>61.09</v>
      </c>
      <c r="K23" s="4" t="s">
        <v>1448</v>
      </c>
      <c r="L23" s="4" t="s">
        <v>1429</v>
      </c>
    </row>
    <row r="24" spans="1:12" ht="31.5" x14ac:dyDescent="0.25">
      <c r="A24" s="4">
        <v>20</v>
      </c>
      <c r="B24" s="33" t="s">
        <v>1485</v>
      </c>
      <c r="C24" s="33" t="s">
        <v>1486</v>
      </c>
      <c r="D24" s="4" t="s">
        <v>1487</v>
      </c>
      <c r="E24" s="4" t="s">
        <v>39</v>
      </c>
      <c r="F24" s="61">
        <f>(60+60+59+60+59+60+60+53+120)/600*100</f>
        <v>98.5</v>
      </c>
      <c r="G24" s="4" t="s">
        <v>328</v>
      </c>
      <c r="H24" s="4" t="s">
        <v>1429</v>
      </c>
      <c r="I24" s="4" t="s">
        <v>1429</v>
      </c>
      <c r="J24" s="4">
        <v>74.78</v>
      </c>
      <c r="K24" s="4" t="s">
        <v>1448</v>
      </c>
      <c r="L24" s="4" t="s">
        <v>1429</v>
      </c>
    </row>
    <row r="25" spans="1:12" ht="31.5" x14ac:dyDescent="0.25">
      <c r="A25" s="4">
        <v>21</v>
      </c>
      <c r="B25" s="33" t="s">
        <v>1488</v>
      </c>
      <c r="C25" s="33" t="s">
        <v>1489</v>
      </c>
      <c r="D25" s="4" t="s">
        <v>798</v>
      </c>
      <c r="E25" s="4" t="s">
        <v>37</v>
      </c>
      <c r="F25" s="61">
        <f>(240+59+57+49+53+29+28+28+28)/600*100</f>
        <v>95.166666666666671</v>
      </c>
      <c r="G25" s="4" t="s">
        <v>328</v>
      </c>
      <c r="H25" s="4" t="s">
        <v>1429</v>
      </c>
      <c r="I25" s="4" t="s">
        <v>1429</v>
      </c>
      <c r="J25" s="4">
        <v>69.650000000000006</v>
      </c>
      <c r="K25" s="4" t="s">
        <v>1448</v>
      </c>
      <c r="L25" s="4" t="s">
        <v>1429</v>
      </c>
    </row>
    <row r="26" spans="1:12" ht="31.5" x14ac:dyDescent="0.25">
      <c r="A26" s="4">
        <v>22</v>
      </c>
      <c r="B26" s="33" t="s">
        <v>1490</v>
      </c>
      <c r="C26" s="33" t="s">
        <v>1491</v>
      </c>
      <c r="D26" s="4" t="s">
        <v>1492</v>
      </c>
      <c r="E26" s="4" t="s">
        <v>50</v>
      </c>
      <c r="F26" s="61">
        <f>(240+56+60+55+49+30+30+30+30)/600*100</f>
        <v>96.666666666666671</v>
      </c>
      <c r="G26" s="4" t="s">
        <v>328</v>
      </c>
      <c r="H26" s="4" t="s">
        <v>1429</v>
      </c>
      <c r="I26" s="4" t="s">
        <v>1429</v>
      </c>
      <c r="J26" s="4">
        <v>69.81</v>
      </c>
      <c r="K26" s="4" t="s">
        <v>1448</v>
      </c>
      <c r="L26" s="4" t="s">
        <v>1429</v>
      </c>
    </row>
    <row r="27" spans="1:12" ht="31.5" x14ac:dyDescent="0.25">
      <c r="A27" s="4">
        <v>23</v>
      </c>
      <c r="B27" s="33" t="s">
        <v>1493</v>
      </c>
      <c r="C27" s="33" t="s">
        <v>1494</v>
      </c>
      <c r="D27" s="4" t="s">
        <v>1495</v>
      </c>
      <c r="E27" s="4" t="s">
        <v>382</v>
      </c>
      <c r="F27" s="61">
        <f>(240+59+60+55+52+27+29+29+29)/600*100</f>
        <v>96.666666666666671</v>
      </c>
      <c r="G27" s="4" t="s">
        <v>328</v>
      </c>
      <c r="H27" s="4" t="s">
        <v>1429</v>
      </c>
      <c r="I27" s="4" t="s">
        <v>1429</v>
      </c>
      <c r="J27" s="4">
        <v>74.709999999999994</v>
      </c>
      <c r="K27" s="4" t="s">
        <v>1496</v>
      </c>
      <c r="L27" s="4" t="s">
        <v>1429</v>
      </c>
    </row>
    <row r="28" spans="1:12" ht="31.5" x14ac:dyDescent="0.25">
      <c r="A28" s="4">
        <v>24</v>
      </c>
      <c r="B28" s="33" t="s">
        <v>1497</v>
      </c>
      <c r="C28" s="33" t="s">
        <v>1498</v>
      </c>
      <c r="D28" s="4" t="s">
        <v>787</v>
      </c>
      <c r="E28" s="4" t="s">
        <v>382</v>
      </c>
      <c r="F28" s="61">
        <f>(60+58+60+59+60+59+57+60+120)/600*100</f>
        <v>98.833333333333329</v>
      </c>
      <c r="G28" s="4" t="s">
        <v>328</v>
      </c>
      <c r="H28" s="4" t="s">
        <v>1429</v>
      </c>
      <c r="I28" s="4" t="s">
        <v>1429</v>
      </c>
      <c r="J28" s="4">
        <v>75.8</v>
      </c>
      <c r="K28" s="4" t="s">
        <v>1496</v>
      </c>
      <c r="L28" s="4" t="s">
        <v>1429</v>
      </c>
    </row>
    <row r="29" spans="1:12" ht="31.5" x14ac:dyDescent="0.25">
      <c r="A29" s="4">
        <v>25</v>
      </c>
      <c r="B29" s="33" t="s">
        <v>1499</v>
      </c>
      <c r="C29" s="33" t="s">
        <v>1391</v>
      </c>
      <c r="D29" s="4" t="s">
        <v>518</v>
      </c>
      <c r="E29" s="4" t="s">
        <v>33</v>
      </c>
      <c r="F29" s="61">
        <f>(240+60+56+58+60+120)/600*100</f>
        <v>99</v>
      </c>
      <c r="G29" s="4" t="s">
        <v>328</v>
      </c>
      <c r="H29" s="4" t="s">
        <v>1429</v>
      </c>
      <c r="I29" s="4" t="s">
        <v>1429</v>
      </c>
      <c r="J29" s="4">
        <v>77.12</v>
      </c>
      <c r="K29" s="4" t="s">
        <v>1438</v>
      </c>
      <c r="L29" s="4" t="s">
        <v>1429</v>
      </c>
    </row>
    <row r="30" spans="1:12" ht="31.5" x14ac:dyDescent="0.25">
      <c r="A30" s="4">
        <v>26</v>
      </c>
      <c r="B30" s="33" t="s">
        <v>1500</v>
      </c>
      <c r="C30" s="33" t="s">
        <v>1501</v>
      </c>
      <c r="D30" s="4" t="s">
        <v>1502</v>
      </c>
      <c r="E30" s="4" t="s">
        <v>33</v>
      </c>
      <c r="F30" s="61">
        <f>(240+120+180+58)/600*100</f>
        <v>99.666666666666671</v>
      </c>
      <c r="G30" s="4" t="s">
        <v>328</v>
      </c>
      <c r="H30" s="4" t="s">
        <v>1429</v>
      </c>
      <c r="I30" s="4" t="s">
        <v>1429</v>
      </c>
      <c r="J30" s="4">
        <v>87.26</v>
      </c>
      <c r="K30" s="4" t="s">
        <v>1503</v>
      </c>
      <c r="L30" s="4" t="s">
        <v>1429</v>
      </c>
    </row>
    <row r="31" spans="1:12" ht="31.5" x14ac:dyDescent="0.25">
      <c r="A31" s="4">
        <v>27</v>
      </c>
      <c r="B31" s="33" t="s">
        <v>1504</v>
      </c>
      <c r="C31" s="33" t="s">
        <v>1505</v>
      </c>
      <c r="D31" s="4" t="s">
        <v>1506</v>
      </c>
      <c r="E31" s="4" t="s">
        <v>39</v>
      </c>
      <c r="F31" s="61">
        <f>(59+60+60+55+58+60+46+52+27+29+29+30)/600*100</f>
        <v>94.166666666666671</v>
      </c>
      <c r="G31" s="4" t="s">
        <v>328</v>
      </c>
      <c r="H31" s="4" t="s">
        <v>1429</v>
      </c>
      <c r="I31" s="4" t="s">
        <v>1429</v>
      </c>
      <c r="J31" s="4">
        <v>77.44</v>
      </c>
      <c r="K31" s="4" t="s">
        <v>1438</v>
      </c>
      <c r="L31" s="4" t="s">
        <v>1429</v>
      </c>
    </row>
    <row r="32" spans="1:12" ht="31.5" x14ac:dyDescent="0.25">
      <c r="A32" s="4">
        <v>28</v>
      </c>
      <c r="B32" s="33" t="s">
        <v>1507</v>
      </c>
      <c r="C32" s="33" t="s">
        <v>1508</v>
      </c>
      <c r="D32" s="4" t="s">
        <v>1509</v>
      </c>
      <c r="E32" s="4" t="s">
        <v>43</v>
      </c>
      <c r="F32" s="61">
        <f>(60+60+58+54+59+56+44+55+120)/600*100</f>
        <v>94.333333333333343</v>
      </c>
      <c r="G32" s="4" t="s">
        <v>328</v>
      </c>
      <c r="H32" s="4" t="s">
        <v>1429</v>
      </c>
      <c r="I32" s="4" t="s">
        <v>1429</v>
      </c>
      <c r="J32" s="4">
        <v>75.61</v>
      </c>
      <c r="K32" s="4" t="s">
        <v>1503</v>
      </c>
      <c r="L32" s="4" t="s">
        <v>1429</v>
      </c>
    </row>
    <row r="33" spans="1:12" ht="31.5" x14ac:dyDescent="0.25">
      <c r="A33" s="4">
        <v>29</v>
      </c>
      <c r="B33" s="33" t="s">
        <v>1510</v>
      </c>
      <c r="C33" s="33" t="s">
        <v>1511</v>
      </c>
      <c r="D33" s="4" t="s">
        <v>1512</v>
      </c>
      <c r="E33" s="4" t="s">
        <v>46</v>
      </c>
      <c r="F33" s="61">
        <f>(240+120+41+54+58+55)/600*100</f>
        <v>94.666666666666671</v>
      </c>
      <c r="G33" s="4" t="s">
        <v>328</v>
      </c>
      <c r="H33" s="4" t="s">
        <v>1429</v>
      </c>
      <c r="I33" s="4" t="s">
        <v>1429</v>
      </c>
      <c r="J33" s="4">
        <v>62.82</v>
      </c>
      <c r="K33" s="4" t="s">
        <v>1513</v>
      </c>
      <c r="L33" s="4" t="s">
        <v>1429</v>
      </c>
    </row>
    <row r="34" spans="1:12" ht="31.5" x14ac:dyDescent="0.25">
      <c r="A34" s="4">
        <v>30</v>
      </c>
      <c r="B34" s="33" t="s">
        <v>1514</v>
      </c>
      <c r="C34" s="33" t="s">
        <v>1515</v>
      </c>
      <c r="D34" s="4" t="s">
        <v>1516</v>
      </c>
      <c r="E34" s="4" t="s">
        <v>41</v>
      </c>
      <c r="F34" s="61">
        <f>(240+120+120+55+56)/600*100</f>
        <v>98.5</v>
      </c>
      <c r="G34" s="4" t="s">
        <v>328</v>
      </c>
      <c r="H34" s="4" t="s">
        <v>1429</v>
      </c>
      <c r="I34" s="4" t="s">
        <v>1429</v>
      </c>
      <c r="J34" s="4">
        <v>76.180000000000007</v>
      </c>
      <c r="K34" s="4" t="s">
        <v>1517</v>
      </c>
      <c r="L34" s="4" t="s">
        <v>1429</v>
      </c>
    </row>
    <row r="35" spans="1:12" ht="31.5" x14ac:dyDescent="0.25">
      <c r="A35" s="4">
        <v>31</v>
      </c>
      <c r="B35" s="33" t="s">
        <v>1518</v>
      </c>
      <c r="C35" s="33" t="s">
        <v>1519</v>
      </c>
      <c r="D35" s="4" t="s">
        <v>787</v>
      </c>
      <c r="E35" s="4" t="s">
        <v>33</v>
      </c>
      <c r="F35" s="61">
        <f>(58+56+59+57+59+54+55+45+120)/600*100</f>
        <v>93.833333333333329</v>
      </c>
      <c r="G35" s="4" t="s">
        <v>328</v>
      </c>
      <c r="H35" s="4" t="s">
        <v>1429</v>
      </c>
      <c r="I35" s="4" t="s">
        <v>1429</v>
      </c>
      <c r="J35" s="4">
        <v>77.83</v>
      </c>
      <c r="K35" s="4" t="s">
        <v>1520</v>
      </c>
      <c r="L35" s="4" t="s">
        <v>1429</v>
      </c>
    </row>
    <row r="36" spans="1:12" ht="31.5" x14ac:dyDescent="0.25">
      <c r="A36" s="4">
        <v>32</v>
      </c>
      <c r="B36" s="33" t="s">
        <v>1521</v>
      </c>
      <c r="C36" s="33" t="s">
        <v>1522</v>
      </c>
      <c r="D36" s="4" t="s">
        <v>518</v>
      </c>
      <c r="E36" s="4" t="s">
        <v>33</v>
      </c>
      <c r="F36" s="61">
        <f>(120+58+58+58+120+120+48)/600*100</f>
        <v>97</v>
      </c>
      <c r="G36" s="4" t="s">
        <v>328</v>
      </c>
      <c r="H36" s="4" t="s">
        <v>1429</v>
      </c>
      <c r="I36" s="4" t="s">
        <v>1429</v>
      </c>
      <c r="J36" s="4">
        <v>80.959999999999994</v>
      </c>
      <c r="K36" s="4" t="s">
        <v>1517</v>
      </c>
      <c r="L36" s="4" t="s">
        <v>1429</v>
      </c>
    </row>
    <row r="37" spans="1:12" ht="31.5" x14ac:dyDescent="0.25">
      <c r="A37" s="4">
        <v>33</v>
      </c>
      <c r="B37" s="33" t="s">
        <v>1523</v>
      </c>
      <c r="C37" s="33" t="s">
        <v>1524</v>
      </c>
      <c r="D37" s="4" t="s">
        <v>1525</v>
      </c>
      <c r="E37" s="4" t="s">
        <v>33</v>
      </c>
      <c r="F37" s="61">
        <f>(180+58+49+60+49+55+29+29+60)/600*100</f>
        <v>94.833333333333343</v>
      </c>
      <c r="G37" s="4" t="s">
        <v>328</v>
      </c>
      <c r="H37" s="4" t="s">
        <v>1429</v>
      </c>
      <c r="I37" s="4" t="s">
        <v>1429</v>
      </c>
      <c r="J37" s="4">
        <v>76.67</v>
      </c>
      <c r="K37" s="4" t="s">
        <v>1438</v>
      </c>
      <c r="L37" s="4" t="s">
        <v>1429</v>
      </c>
    </row>
    <row r="38" spans="1:12" ht="31.5" x14ac:dyDescent="0.25">
      <c r="A38" s="4">
        <v>34</v>
      </c>
      <c r="B38" s="33" t="s">
        <v>1526</v>
      </c>
      <c r="C38" s="33" t="s">
        <v>1527</v>
      </c>
      <c r="D38" s="4" t="s">
        <v>575</v>
      </c>
      <c r="E38" s="4" t="s">
        <v>41</v>
      </c>
      <c r="F38" s="61">
        <f>(59+58+59+60+60+57+60+55+120)/600*100</f>
        <v>98</v>
      </c>
      <c r="G38" s="4" t="s">
        <v>328</v>
      </c>
      <c r="H38" s="4" t="s">
        <v>1429</v>
      </c>
      <c r="I38" s="4" t="s">
        <v>1429</v>
      </c>
      <c r="J38" s="4">
        <v>75.650000000000006</v>
      </c>
      <c r="K38" s="4" t="s">
        <v>1438</v>
      </c>
      <c r="L38" s="4" t="s">
        <v>1429</v>
      </c>
    </row>
    <row r="39" spans="1:12" ht="31.5" x14ac:dyDescent="0.25">
      <c r="A39" s="4">
        <v>35</v>
      </c>
      <c r="B39" s="37" t="s">
        <v>1528</v>
      </c>
      <c r="C39" s="33" t="s">
        <v>1529</v>
      </c>
      <c r="D39" s="38" t="s">
        <v>1530</v>
      </c>
      <c r="E39" s="38" t="s">
        <v>37</v>
      </c>
      <c r="F39" s="106">
        <f>(60+60+58+54+60+60+57+60+120)/600*100</f>
        <v>98.166666666666671</v>
      </c>
      <c r="G39" s="4" t="s">
        <v>328</v>
      </c>
      <c r="H39" s="4" t="s">
        <v>1429</v>
      </c>
      <c r="I39" s="4" t="s">
        <v>1429</v>
      </c>
      <c r="J39" s="4">
        <v>70.47</v>
      </c>
      <c r="K39" s="4" t="s">
        <v>1438</v>
      </c>
      <c r="L39" s="4" t="s">
        <v>1429</v>
      </c>
    </row>
    <row r="40" spans="1:12" ht="31.5" x14ac:dyDescent="0.25">
      <c r="A40" s="4">
        <v>36</v>
      </c>
      <c r="B40" s="37" t="s">
        <v>1528</v>
      </c>
      <c r="C40" s="33" t="s">
        <v>1531</v>
      </c>
      <c r="D40" s="4" t="s">
        <v>1467</v>
      </c>
      <c r="E40" s="4" t="s">
        <v>33</v>
      </c>
      <c r="F40" s="61">
        <f>(60+60+60+58+60+55+58+60+120)/600*100</f>
        <v>98.5</v>
      </c>
      <c r="G40" s="4" t="s">
        <v>328</v>
      </c>
      <c r="H40" s="4" t="s">
        <v>1429</v>
      </c>
      <c r="I40" s="4" t="s">
        <v>1429</v>
      </c>
      <c r="J40" s="4">
        <v>76.650000000000006</v>
      </c>
      <c r="K40" s="4" t="s">
        <v>1438</v>
      </c>
      <c r="L40" s="4" t="s">
        <v>1429</v>
      </c>
    </row>
    <row r="41" spans="1:12" ht="31.5" x14ac:dyDescent="0.25">
      <c r="A41" s="4">
        <v>37</v>
      </c>
      <c r="B41" s="33" t="s">
        <v>1532</v>
      </c>
      <c r="C41" s="33" t="s">
        <v>1061</v>
      </c>
      <c r="D41" s="4" t="s">
        <v>1533</v>
      </c>
      <c r="E41" s="4" t="s">
        <v>33</v>
      </c>
      <c r="F41" s="61">
        <f>(59+60+60+58+60+60+56+60+120)/600*100</f>
        <v>98.833333333333329</v>
      </c>
      <c r="G41" s="4" t="s">
        <v>328</v>
      </c>
      <c r="H41" s="4" t="s">
        <v>1429</v>
      </c>
      <c r="I41" s="4" t="s">
        <v>1429</v>
      </c>
      <c r="J41" s="4">
        <v>78.14</v>
      </c>
      <c r="K41" s="4" t="s">
        <v>1503</v>
      </c>
      <c r="L41" s="4" t="s">
        <v>1429</v>
      </c>
    </row>
    <row r="42" spans="1:12" ht="31.5" x14ac:dyDescent="0.25">
      <c r="A42" s="4">
        <v>38</v>
      </c>
      <c r="B42" s="33" t="s">
        <v>1534</v>
      </c>
      <c r="C42" s="33" t="s">
        <v>1535</v>
      </c>
      <c r="D42" s="4" t="s">
        <v>1536</v>
      </c>
      <c r="E42" s="4" t="s">
        <v>39</v>
      </c>
      <c r="F42" s="61">
        <f>(60+56+55+56+57+60+60+55+30+29+30+29)/600*100</f>
        <v>96.166666666666671</v>
      </c>
      <c r="G42" s="4" t="s">
        <v>328</v>
      </c>
      <c r="H42" s="4" t="s">
        <v>1429</v>
      </c>
      <c r="I42" s="4" t="s">
        <v>1429</v>
      </c>
      <c r="J42" s="4">
        <v>77.010000000000005</v>
      </c>
      <c r="K42" s="4" t="s">
        <v>1430</v>
      </c>
      <c r="L42" s="4" t="s">
        <v>1429</v>
      </c>
    </row>
    <row r="43" spans="1:12" ht="31.5" x14ac:dyDescent="0.25">
      <c r="A43" s="4">
        <v>39</v>
      </c>
      <c r="B43" s="33" t="s">
        <v>1537</v>
      </c>
      <c r="C43" s="33" t="s">
        <v>1538</v>
      </c>
      <c r="D43" s="4" t="s">
        <v>1539</v>
      </c>
      <c r="E43" s="4" t="s">
        <v>33</v>
      </c>
      <c r="F43" s="61">
        <f>(59+58+58+57+55+58+60+48+120)/600*100</f>
        <v>95.5</v>
      </c>
      <c r="G43" s="4" t="s">
        <v>328</v>
      </c>
      <c r="H43" s="4" t="s">
        <v>1429</v>
      </c>
      <c r="I43" s="4" t="s">
        <v>1429</v>
      </c>
      <c r="J43" s="4">
        <v>77.31</v>
      </c>
      <c r="K43" s="4" t="s">
        <v>1430</v>
      </c>
      <c r="L43" s="4" t="s">
        <v>1429</v>
      </c>
    </row>
    <row r="44" spans="1:12" ht="31.5" x14ac:dyDescent="0.25">
      <c r="A44" s="4">
        <v>40</v>
      </c>
      <c r="B44" s="33" t="s">
        <v>1540</v>
      </c>
      <c r="C44" s="33" t="s">
        <v>1541</v>
      </c>
      <c r="D44" s="4" t="s">
        <v>1542</v>
      </c>
      <c r="E44" s="4" t="s">
        <v>37</v>
      </c>
      <c r="F44" s="61">
        <f>(58+56+60+59+53+55+50+51+30+30+28+30)/600*100</f>
        <v>93.333333333333329</v>
      </c>
      <c r="G44" s="4" t="s">
        <v>328</v>
      </c>
      <c r="H44" s="4" t="s">
        <v>1429</v>
      </c>
      <c r="I44" s="4" t="s">
        <v>1429</v>
      </c>
      <c r="J44" s="4">
        <v>70.2</v>
      </c>
      <c r="K44" s="4" t="s">
        <v>1430</v>
      </c>
      <c r="L44" s="4" t="s">
        <v>1429</v>
      </c>
    </row>
    <row r="45" spans="1:12" ht="31.5" x14ac:dyDescent="0.25">
      <c r="A45" s="4">
        <v>41</v>
      </c>
      <c r="B45" s="33" t="s">
        <v>1543</v>
      </c>
      <c r="C45" s="33" t="s">
        <v>1544</v>
      </c>
      <c r="D45" s="4" t="s">
        <v>1545</v>
      </c>
      <c r="E45" s="4" t="s">
        <v>37</v>
      </c>
      <c r="F45" s="61">
        <f>(60+56+60+58+60+60+49+57+30+28+24+26)/600*100</f>
        <v>94.666666666666671</v>
      </c>
      <c r="G45" s="4" t="s">
        <v>328</v>
      </c>
      <c r="H45" s="4" t="s">
        <v>1429</v>
      </c>
      <c r="I45" s="4" t="s">
        <v>1429</v>
      </c>
      <c r="J45" s="4">
        <v>71.47</v>
      </c>
      <c r="K45" s="4" t="s">
        <v>1430</v>
      </c>
      <c r="L45" s="4" t="s">
        <v>1429</v>
      </c>
    </row>
    <row r="46" spans="1:12" ht="31.5" x14ac:dyDescent="0.25">
      <c r="A46" s="4">
        <v>42</v>
      </c>
      <c r="B46" s="33" t="s">
        <v>1546</v>
      </c>
      <c r="C46" s="33" t="s">
        <v>1547</v>
      </c>
      <c r="D46" s="4" t="s">
        <v>1548</v>
      </c>
      <c r="E46" s="4" t="s">
        <v>33</v>
      </c>
      <c r="F46" s="61">
        <f>(57+60+60+60+60+56+59+48+120)/600*100</f>
        <v>96.666666666666671</v>
      </c>
      <c r="G46" s="4" t="s">
        <v>328</v>
      </c>
      <c r="H46" s="4" t="s">
        <v>1429</v>
      </c>
      <c r="I46" s="4" t="s">
        <v>1429</v>
      </c>
      <c r="J46" s="4">
        <v>76.66</v>
      </c>
      <c r="K46" s="4" t="s">
        <v>1549</v>
      </c>
      <c r="L46" s="4" t="s">
        <v>1429</v>
      </c>
    </row>
    <row r="47" spans="1:12" ht="31.5" x14ac:dyDescent="0.25">
      <c r="A47" s="4">
        <v>43</v>
      </c>
      <c r="B47" s="33" t="s">
        <v>1550</v>
      </c>
      <c r="C47" s="33" t="s">
        <v>1340</v>
      </c>
      <c r="D47" s="4" t="s">
        <v>1551</v>
      </c>
      <c r="E47" s="4" t="s">
        <v>43</v>
      </c>
      <c r="F47" s="61">
        <f>(60+59+59+57+58+60+48+59+120)/600*100</f>
        <v>96.666666666666671</v>
      </c>
      <c r="G47" s="4" t="s">
        <v>328</v>
      </c>
      <c r="H47" s="4" t="s">
        <v>1429</v>
      </c>
      <c r="I47" s="4" t="s">
        <v>1429</v>
      </c>
      <c r="J47" s="4">
        <v>73.849999999999994</v>
      </c>
      <c r="K47" s="4" t="s">
        <v>1438</v>
      </c>
      <c r="L47" s="4" t="s">
        <v>1429</v>
      </c>
    </row>
    <row r="48" spans="1:12" ht="31.5" x14ac:dyDescent="0.25">
      <c r="A48" s="107">
        <v>44</v>
      </c>
      <c r="B48" s="89" t="s">
        <v>1552</v>
      </c>
      <c r="C48" s="33" t="s">
        <v>1553</v>
      </c>
      <c r="D48" s="4" t="s">
        <v>1554</v>
      </c>
      <c r="E48" s="4" t="s">
        <v>33</v>
      </c>
      <c r="F48" s="61">
        <f>(59+60+60+55+60+60+56+57+120)/600*100</f>
        <v>97.833333333333343</v>
      </c>
      <c r="G48" s="4" t="s">
        <v>328</v>
      </c>
      <c r="H48" s="4" t="s">
        <v>1429</v>
      </c>
      <c r="I48" s="4" t="s">
        <v>1429</v>
      </c>
      <c r="J48" s="4">
        <v>76.45</v>
      </c>
      <c r="K48" s="4" t="s">
        <v>1438</v>
      </c>
      <c r="L48" s="4" t="s">
        <v>1429</v>
      </c>
    </row>
    <row r="49" spans="1:12" ht="31.5" x14ac:dyDescent="0.25">
      <c r="A49" s="4">
        <v>45</v>
      </c>
      <c r="B49" s="33" t="s">
        <v>1555</v>
      </c>
      <c r="C49" s="33" t="s">
        <v>1556</v>
      </c>
      <c r="D49" s="4" t="s">
        <v>1557</v>
      </c>
      <c r="E49" s="4" t="s">
        <v>37</v>
      </c>
      <c r="F49" s="61">
        <f>(57+57+60+56+55+56+52+48+30+30+29+30)/600*100</f>
        <v>93.333333333333329</v>
      </c>
      <c r="G49" s="4" t="s">
        <v>328</v>
      </c>
      <c r="H49" s="4" t="s">
        <v>1429</v>
      </c>
      <c r="I49" s="4" t="s">
        <v>1429</v>
      </c>
      <c r="J49" s="4">
        <v>69.73</v>
      </c>
      <c r="K49" s="4" t="s">
        <v>1496</v>
      </c>
      <c r="L49" s="4" t="s">
        <v>1429</v>
      </c>
    </row>
    <row r="50" spans="1:12" ht="31.5" x14ac:dyDescent="0.25">
      <c r="A50" s="4">
        <v>46</v>
      </c>
      <c r="B50" s="33" t="s">
        <v>1558</v>
      </c>
      <c r="C50" s="33" t="s">
        <v>1559</v>
      </c>
      <c r="D50" s="4" t="s">
        <v>1560</v>
      </c>
      <c r="E50" s="4" t="s">
        <v>37</v>
      </c>
      <c r="F50" s="61">
        <f>(60+60+60+60+60+40+56+57+29+28+30+29)/600*100</f>
        <v>94.833333333333343</v>
      </c>
      <c r="G50" s="4" t="s">
        <v>328</v>
      </c>
      <c r="H50" s="4" t="s">
        <v>1429</v>
      </c>
      <c r="I50" s="4" t="s">
        <v>1429</v>
      </c>
      <c r="J50" s="4">
        <v>69.64</v>
      </c>
      <c r="K50" s="4" t="s">
        <v>1561</v>
      </c>
      <c r="L50" s="4" t="s">
        <v>1429</v>
      </c>
    </row>
    <row r="51" spans="1:12" ht="31.5" x14ac:dyDescent="0.25">
      <c r="A51" s="4">
        <v>47</v>
      </c>
      <c r="B51" s="33" t="s">
        <v>1562</v>
      </c>
      <c r="C51" s="33" t="s">
        <v>1563</v>
      </c>
      <c r="D51" s="4" t="s">
        <v>458</v>
      </c>
      <c r="E51" s="4" t="s">
        <v>41</v>
      </c>
      <c r="F51" s="61">
        <f>(56+60+54+56+60+54+60+45+30+30+30+29)/600*100</f>
        <v>94</v>
      </c>
      <c r="G51" s="4" t="s">
        <v>328</v>
      </c>
      <c r="H51" s="4" t="s">
        <v>1429</v>
      </c>
      <c r="I51" s="4" t="s">
        <v>1429</v>
      </c>
      <c r="J51" s="4">
        <v>72.709999999999994</v>
      </c>
      <c r="K51" s="4" t="s">
        <v>1561</v>
      </c>
      <c r="L51" s="4" t="s">
        <v>1429</v>
      </c>
    </row>
    <row r="52" spans="1:12" ht="31.5" x14ac:dyDescent="0.25">
      <c r="A52" s="4">
        <v>48</v>
      </c>
      <c r="B52" s="33" t="s">
        <v>1564</v>
      </c>
      <c r="C52" s="33" t="s">
        <v>1565</v>
      </c>
      <c r="D52" s="4" t="s">
        <v>1566</v>
      </c>
      <c r="E52" s="4" t="s">
        <v>33</v>
      </c>
      <c r="F52" s="61">
        <f>(60+55+52+47+54+60+58+31+30+29+27+29)/600*100</f>
        <v>88.666666666666671</v>
      </c>
      <c r="G52" s="4" t="s">
        <v>328</v>
      </c>
      <c r="H52" s="4" t="s">
        <v>1429</v>
      </c>
      <c r="I52" s="4" t="s">
        <v>1429</v>
      </c>
      <c r="J52" s="4">
        <v>76.540000000000006</v>
      </c>
      <c r="K52" s="4" t="s">
        <v>1561</v>
      </c>
      <c r="L52" s="4" t="s">
        <v>1429</v>
      </c>
    </row>
    <row r="53" spans="1:12" ht="31.5" x14ac:dyDescent="0.25">
      <c r="A53" s="4">
        <v>49</v>
      </c>
      <c r="B53" s="33" t="s">
        <v>1567</v>
      </c>
      <c r="C53" s="4" t="s">
        <v>1568</v>
      </c>
      <c r="D53" s="4" t="s">
        <v>1569</v>
      </c>
      <c r="E53" s="4" t="s">
        <v>37</v>
      </c>
      <c r="F53" s="61">
        <f>(50+53+56+56+53+44+42+29+30+29+29+29)/600*100</f>
        <v>83.333333333333343</v>
      </c>
      <c r="G53" s="4" t="s">
        <v>328</v>
      </c>
      <c r="H53" s="33">
        <v>960680079</v>
      </c>
      <c r="I53" s="4" t="s">
        <v>1429</v>
      </c>
      <c r="J53" s="4">
        <v>62.2</v>
      </c>
      <c r="K53" s="4" t="s">
        <v>1438</v>
      </c>
      <c r="L53" s="4" t="s">
        <v>328</v>
      </c>
    </row>
    <row r="54" spans="1:12" ht="31.5" x14ac:dyDescent="0.25">
      <c r="A54" s="4">
        <v>50</v>
      </c>
      <c r="B54" s="33" t="s">
        <v>1570</v>
      </c>
      <c r="C54" s="4" t="s">
        <v>1571</v>
      </c>
      <c r="D54" s="4" t="s">
        <v>1572</v>
      </c>
      <c r="E54" s="4" t="s">
        <v>43</v>
      </c>
      <c r="F54" s="61">
        <f>(59+54+29+53+50+30+49+44+30+52+51+30)/600*100</f>
        <v>88.5</v>
      </c>
      <c r="G54" s="4" t="s">
        <v>328</v>
      </c>
      <c r="H54" s="33">
        <v>960650270</v>
      </c>
      <c r="I54" s="4" t="s">
        <v>1429</v>
      </c>
      <c r="J54" s="4">
        <v>55.79</v>
      </c>
      <c r="K54" s="4" t="s">
        <v>1561</v>
      </c>
      <c r="L54" s="4" t="s">
        <v>328</v>
      </c>
    </row>
    <row r="55" spans="1:12" ht="31.5" x14ac:dyDescent="0.25">
      <c r="A55" s="4">
        <v>51</v>
      </c>
      <c r="B55" s="33" t="s">
        <v>1573</v>
      </c>
      <c r="C55" s="33" t="s">
        <v>1574</v>
      </c>
      <c r="D55" s="33" t="s">
        <v>1415</v>
      </c>
      <c r="E55" s="4" t="s">
        <v>382</v>
      </c>
      <c r="F55" s="68">
        <f>(58+56+49+45+59+58+60+29+26+30+28+30)/600*100</f>
        <v>88</v>
      </c>
      <c r="G55" s="4" t="s">
        <v>328</v>
      </c>
      <c r="H55" s="33">
        <v>86913531</v>
      </c>
      <c r="I55" s="4">
        <v>72.510000000000005</v>
      </c>
      <c r="J55" s="4" t="s">
        <v>1429</v>
      </c>
      <c r="K55" s="4" t="s">
        <v>1575</v>
      </c>
      <c r="L55" s="4" t="s">
        <v>328</v>
      </c>
    </row>
    <row r="56" spans="1:12" ht="31.5" x14ac:dyDescent="0.25">
      <c r="A56" s="4">
        <v>52</v>
      </c>
      <c r="B56" s="33" t="s">
        <v>1576</v>
      </c>
      <c r="C56" s="33" t="s">
        <v>1577</v>
      </c>
      <c r="D56" s="33" t="s">
        <v>514</v>
      </c>
      <c r="E56" s="4" t="s">
        <v>33</v>
      </c>
      <c r="F56" s="68">
        <f>(56+60+59+49+59+55+48+48+120)/600*100</f>
        <v>92.333333333333329</v>
      </c>
      <c r="G56" s="4" t="s">
        <v>328</v>
      </c>
      <c r="H56" s="33">
        <v>86913531</v>
      </c>
      <c r="I56" s="4">
        <v>88</v>
      </c>
      <c r="J56" s="4" t="s">
        <v>1429</v>
      </c>
      <c r="K56" s="4" t="s">
        <v>1578</v>
      </c>
      <c r="L56" s="4" t="s">
        <v>328</v>
      </c>
    </row>
    <row r="57" spans="1:12" ht="31.5" x14ac:dyDescent="0.25">
      <c r="A57" s="4">
        <v>53</v>
      </c>
      <c r="B57" s="33" t="s">
        <v>1579</v>
      </c>
      <c r="C57" s="33" t="s">
        <v>1580</v>
      </c>
      <c r="D57" s="33" t="s">
        <v>1581</v>
      </c>
      <c r="E57" s="4" t="s">
        <v>37</v>
      </c>
      <c r="F57" s="68">
        <f>(60+53+53+47+52+49+27+31+120)/600*100</f>
        <v>82</v>
      </c>
      <c r="G57" s="4" t="s">
        <v>328</v>
      </c>
      <c r="H57" s="33">
        <v>80203903</v>
      </c>
      <c r="I57" s="4">
        <v>52.24</v>
      </c>
      <c r="J57" s="4" t="s">
        <v>1429</v>
      </c>
      <c r="K57" s="4" t="s">
        <v>1582</v>
      </c>
      <c r="L57" s="4" t="s">
        <v>328</v>
      </c>
    </row>
    <row r="58" spans="1:12" ht="47.25" x14ac:dyDescent="0.25">
      <c r="A58" s="4">
        <v>54</v>
      </c>
      <c r="B58" s="33" t="s">
        <v>1583</v>
      </c>
      <c r="C58" s="33" t="s">
        <v>1584</v>
      </c>
      <c r="D58" s="33" t="s">
        <v>1585</v>
      </c>
      <c r="E58" s="4" t="s">
        <v>41</v>
      </c>
      <c r="F58" s="68">
        <f>(26+41+41+25+43+48+51+49+29+27+28+28)/600*100</f>
        <v>72.666666666666671</v>
      </c>
      <c r="G58" s="4" t="s">
        <v>328</v>
      </c>
      <c r="H58" s="33">
        <v>86902013</v>
      </c>
      <c r="I58" s="4">
        <v>47.73</v>
      </c>
      <c r="J58" s="4" t="s">
        <v>1429</v>
      </c>
      <c r="K58" s="4" t="s">
        <v>1582</v>
      </c>
      <c r="L58" s="4" t="s">
        <v>328</v>
      </c>
    </row>
    <row r="59" spans="1:12" ht="15.75" x14ac:dyDescent="0.25">
      <c r="A59" s="4">
        <v>55</v>
      </c>
      <c r="B59" s="70" t="s">
        <v>1586</v>
      </c>
      <c r="C59" s="69" t="s">
        <v>1587</v>
      </c>
      <c r="D59" s="33" t="s">
        <v>1588</v>
      </c>
      <c r="E59" s="69" t="s">
        <v>37</v>
      </c>
      <c r="F59" s="69">
        <v>95</v>
      </c>
      <c r="G59" s="4" t="s">
        <v>328</v>
      </c>
      <c r="H59" s="33">
        <v>80300358</v>
      </c>
      <c r="I59" s="4">
        <v>62.35</v>
      </c>
      <c r="J59" s="4" t="s">
        <v>1429</v>
      </c>
      <c r="K59" s="33" t="s">
        <v>1441</v>
      </c>
      <c r="L59" s="4" t="s">
        <v>328</v>
      </c>
    </row>
    <row r="60" spans="1:12" ht="30" x14ac:dyDescent="0.25">
      <c r="A60" s="4">
        <v>56</v>
      </c>
      <c r="B60" s="70" t="s">
        <v>1589</v>
      </c>
      <c r="C60" s="69" t="s">
        <v>1590</v>
      </c>
      <c r="D60" s="33" t="s">
        <v>1591</v>
      </c>
      <c r="E60" s="69" t="s">
        <v>43</v>
      </c>
      <c r="F60" s="69">
        <v>92</v>
      </c>
      <c r="G60" s="4" t="s">
        <v>328</v>
      </c>
      <c r="H60" s="33">
        <v>80203618</v>
      </c>
      <c r="I60" s="4">
        <v>66.040000000000006</v>
      </c>
      <c r="J60" s="4" t="s">
        <v>1429</v>
      </c>
      <c r="K60" s="33" t="s">
        <v>1448</v>
      </c>
      <c r="L60" s="4" t="s">
        <v>328</v>
      </c>
    </row>
    <row r="61" spans="1:12" ht="31.5" x14ac:dyDescent="0.25">
      <c r="A61" s="4">
        <v>57</v>
      </c>
      <c r="B61" s="70" t="s">
        <v>1592</v>
      </c>
      <c r="C61" s="69" t="s">
        <v>1593</v>
      </c>
      <c r="D61" s="33" t="s">
        <v>1594</v>
      </c>
      <c r="E61" s="4" t="s">
        <v>33</v>
      </c>
      <c r="F61" s="4">
        <v>88.66</v>
      </c>
      <c r="G61" s="4" t="s">
        <v>328</v>
      </c>
      <c r="H61" s="33">
        <v>86909132</v>
      </c>
      <c r="I61" s="4">
        <v>82.65</v>
      </c>
      <c r="J61" s="4" t="s">
        <v>1429</v>
      </c>
      <c r="K61" s="33" t="s">
        <v>1595</v>
      </c>
      <c r="L61" s="4" t="s">
        <v>328</v>
      </c>
    </row>
    <row r="62" spans="1:12" ht="22.5" customHeight="1" x14ac:dyDescent="0.25">
      <c r="A62" s="4">
        <v>58</v>
      </c>
      <c r="B62" s="70" t="s">
        <v>1596</v>
      </c>
      <c r="C62" s="69" t="s">
        <v>1597</v>
      </c>
      <c r="D62" s="33" t="s">
        <v>1598</v>
      </c>
      <c r="E62" s="4" t="s">
        <v>33</v>
      </c>
      <c r="F62" s="4">
        <v>84</v>
      </c>
      <c r="G62" s="4" t="s">
        <v>328</v>
      </c>
      <c r="H62" s="33">
        <v>80202954</v>
      </c>
      <c r="I62" s="4">
        <v>84.24</v>
      </c>
      <c r="J62" s="4" t="s">
        <v>1429</v>
      </c>
      <c r="K62" s="33" t="s">
        <v>1448</v>
      </c>
      <c r="L62" s="4" t="s">
        <v>328</v>
      </c>
    </row>
    <row r="63" spans="1:12" ht="22.5" customHeight="1" x14ac:dyDescent="0.25">
      <c r="A63" s="4">
        <v>59</v>
      </c>
      <c r="B63" s="70" t="s">
        <v>1599</v>
      </c>
      <c r="C63" s="69" t="s">
        <v>1600</v>
      </c>
      <c r="D63" s="33" t="s">
        <v>1601</v>
      </c>
      <c r="E63" s="4" t="s">
        <v>46</v>
      </c>
      <c r="F63" s="4">
        <v>84.66</v>
      </c>
      <c r="G63" s="4" t="s">
        <v>328</v>
      </c>
      <c r="H63" s="33">
        <v>80304508</v>
      </c>
      <c r="I63" s="4">
        <v>67.3</v>
      </c>
      <c r="J63" s="4" t="s">
        <v>1429</v>
      </c>
      <c r="K63" s="33" t="s">
        <v>1448</v>
      </c>
      <c r="L63" s="4" t="s">
        <v>328</v>
      </c>
    </row>
    <row r="64" spans="1:12" ht="31.5" x14ac:dyDescent="0.25">
      <c r="A64" s="4">
        <v>60</v>
      </c>
      <c r="B64" s="70" t="s">
        <v>1602</v>
      </c>
      <c r="C64" s="69" t="s">
        <v>1603</v>
      </c>
      <c r="D64" s="33" t="s">
        <v>1604</v>
      </c>
      <c r="E64" s="4" t="s">
        <v>39</v>
      </c>
      <c r="F64" s="4">
        <v>91</v>
      </c>
      <c r="G64" s="4" t="s">
        <v>328</v>
      </c>
      <c r="H64" s="33">
        <v>80303148</v>
      </c>
      <c r="I64" s="4">
        <v>86.74</v>
      </c>
      <c r="J64" s="4" t="s">
        <v>1429</v>
      </c>
      <c r="K64" s="33" t="s">
        <v>1441</v>
      </c>
      <c r="L64" s="4" t="s">
        <v>328</v>
      </c>
    </row>
    <row r="65" spans="1:12" ht="30" x14ac:dyDescent="0.25">
      <c r="A65" s="4">
        <v>61</v>
      </c>
      <c r="B65" s="70" t="s">
        <v>1605</v>
      </c>
      <c r="C65" s="69" t="s">
        <v>1606</v>
      </c>
      <c r="D65" s="33" t="s">
        <v>575</v>
      </c>
      <c r="E65" s="4" t="s">
        <v>43</v>
      </c>
      <c r="F65" s="4">
        <v>93.5</v>
      </c>
      <c r="G65" s="4" t="s">
        <v>328</v>
      </c>
      <c r="H65" s="33">
        <v>80202306</v>
      </c>
      <c r="I65" s="4">
        <v>82.81</v>
      </c>
      <c r="J65" s="4" t="s">
        <v>1429</v>
      </c>
      <c r="K65" s="33" t="s">
        <v>1448</v>
      </c>
      <c r="L65" s="4" t="s">
        <v>328</v>
      </c>
    </row>
    <row r="66" spans="1:12" ht="18" customHeight="1" x14ac:dyDescent="0.25">
      <c r="A66" s="4">
        <v>62</v>
      </c>
      <c r="B66" s="70" t="s">
        <v>1607</v>
      </c>
      <c r="C66" s="69" t="s">
        <v>1608</v>
      </c>
      <c r="D66" s="33" t="s">
        <v>1609</v>
      </c>
      <c r="E66" s="4" t="s">
        <v>39</v>
      </c>
      <c r="F66" s="4">
        <v>88.66</v>
      </c>
      <c r="G66" s="4" t="s">
        <v>328</v>
      </c>
      <c r="H66" s="33">
        <v>63600133</v>
      </c>
      <c r="I66" s="4">
        <v>78.989999999999995</v>
      </c>
      <c r="J66" s="4" t="s">
        <v>1429</v>
      </c>
      <c r="K66" s="33" t="s">
        <v>1441</v>
      </c>
      <c r="L66" s="4" t="s">
        <v>328</v>
      </c>
    </row>
    <row r="67" spans="1:12" ht="31.5" x14ac:dyDescent="0.25">
      <c r="A67" s="4">
        <v>63</v>
      </c>
      <c r="B67" s="70" t="s">
        <v>1610</v>
      </c>
      <c r="C67" s="69" t="s">
        <v>1611</v>
      </c>
      <c r="D67" s="33" t="s">
        <v>1612</v>
      </c>
      <c r="E67" s="4" t="s">
        <v>33</v>
      </c>
      <c r="F67" s="4">
        <v>96.3</v>
      </c>
      <c r="G67" s="4" t="s">
        <v>328</v>
      </c>
      <c r="H67" s="33">
        <v>82807846</v>
      </c>
      <c r="I67" s="4">
        <v>58.12</v>
      </c>
      <c r="J67" s="4" t="s">
        <v>1429</v>
      </c>
      <c r="K67" s="33" t="s">
        <v>1448</v>
      </c>
      <c r="L67" s="4" t="s">
        <v>328</v>
      </c>
    </row>
    <row r="68" spans="1:12" ht="15.75" x14ac:dyDescent="0.25">
      <c r="A68" s="4">
        <v>64</v>
      </c>
      <c r="B68" s="70" t="s">
        <v>1613</v>
      </c>
      <c r="C68" s="69" t="s">
        <v>1614</v>
      </c>
      <c r="D68" s="33" t="s">
        <v>1615</v>
      </c>
      <c r="E68" s="4" t="s">
        <v>39</v>
      </c>
      <c r="F68" s="4">
        <v>98</v>
      </c>
      <c r="G68" s="4" t="s">
        <v>328</v>
      </c>
      <c r="H68" s="33">
        <v>86917412</v>
      </c>
      <c r="I68" s="4">
        <v>80.16</v>
      </c>
      <c r="J68" s="4" t="s">
        <v>1429</v>
      </c>
      <c r="K68" s="33" t="s">
        <v>1448</v>
      </c>
      <c r="L68" s="4" t="s">
        <v>328</v>
      </c>
    </row>
    <row r="69" spans="1:12" ht="15.75" x14ac:dyDescent="0.25">
      <c r="A69" s="4">
        <v>65</v>
      </c>
      <c r="B69" s="70" t="s">
        <v>1616</v>
      </c>
      <c r="C69" s="69" t="s">
        <v>1617</v>
      </c>
      <c r="D69" s="33" t="s">
        <v>1618</v>
      </c>
      <c r="E69" s="4" t="s">
        <v>39</v>
      </c>
      <c r="F69" s="4">
        <v>97</v>
      </c>
      <c r="G69" s="4" t="s">
        <v>328</v>
      </c>
      <c r="H69" s="33">
        <v>80204536</v>
      </c>
      <c r="I69" s="4">
        <v>78.8</v>
      </c>
      <c r="J69" s="4" t="s">
        <v>1429</v>
      </c>
      <c r="K69" s="33" t="s">
        <v>1448</v>
      </c>
      <c r="L69" s="4" t="s">
        <v>328</v>
      </c>
    </row>
    <row r="70" spans="1:12" ht="31.5" x14ac:dyDescent="0.25">
      <c r="A70" s="4">
        <v>66</v>
      </c>
      <c r="B70" s="70" t="s">
        <v>1619</v>
      </c>
      <c r="C70" s="69" t="s">
        <v>1620</v>
      </c>
      <c r="D70" s="33" t="s">
        <v>1621</v>
      </c>
      <c r="E70" s="4" t="s">
        <v>37</v>
      </c>
      <c r="F70" s="4">
        <v>91.66</v>
      </c>
      <c r="G70" s="4" t="s">
        <v>328</v>
      </c>
      <c r="H70" s="33">
        <v>80304537</v>
      </c>
      <c r="I70" s="4">
        <v>69.400000000000006</v>
      </c>
      <c r="J70" s="4" t="s">
        <v>1429</v>
      </c>
      <c r="K70" s="33" t="s">
        <v>1448</v>
      </c>
      <c r="L70" s="4" t="s">
        <v>328</v>
      </c>
    </row>
    <row r="71" spans="1:12" ht="30" x14ac:dyDescent="0.25">
      <c r="A71" s="4">
        <v>67</v>
      </c>
      <c r="B71" s="70" t="s">
        <v>1622</v>
      </c>
      <c r="C71" s="69" t="s">
        <v>1623</v>
      </c>
      <c r="D71" s="33" t="s">
        <v>1624</v>
      </c>
      <c r="E71" s="4" t="s">
        <v>61</v>
      </c>
      <c r="F71" s="4">
        <v>91.66</v>
      </c>
      <c r="G71" s="4" t="s">
        <v>328</v>
      </c>
      <c r="H71" s="33">
        <v>86914231</v>
      </c>
      <c r="I71" s="4">
        <v>74.36</v>
      </c>
      <c r="J71" s="4" t="s">
        <v>1429</v>
      </c>
      <c r="K71" s="33" t="s">
        <v>1448</v>
      </c>
      <c r="L71" s="4" t="s">
        <v>328</v>
      </c>
    </row>
    <row r="72" spans="1:12" ht="15.75" x14ac:dyDescent="0.25">
      <c r="A72" s="4">
        <v>68</v>
      </c>
      <c r="B72" s="70" t="s">
        <v>1625</v>
      </c>
      <c r="C72" s="69" t="s">
        <v>1626</v>
      </c>
      <c r="D72" s="33" t="s">
        <v>1627</v>
      </c>
      <c r="E72" s="4" t="s">
        <v>41</v>
      </c>
      <c r="F72" s="4">
        <v>89.83</v>
      </c>
      <c r="G72" s="4" t="s">
        <v>328</v>
      </c>
      <c r="H72" s="33">
        <v>80200305</v>
      </c>
      <c r="I72" s="4">
        <v>88.72</v>
      </c>
      <c r="J72" s="4" t="s">
        <v>1429</v>
      </c>
      <c r="K72" s="33" t="s">
        <v>1448</v>
      </c>
      <c r="L72" s="4" t="s">
        <v>328</v>
      </c>
    </row>
    <row r="73" spans="1:12" ht="15.75" x14ac:dyDescent="0.25">
      <c r="A73" s="4">
        <v>69</v>
      </c>
      <c r="B73" s="70" t="s">
        <v>1628</v>
      </c>
      <c r="C73" s="69" t="s">
        <v>1629</v>
      </c>
      <c r="D73" s="33" t="s">
        <v>1630</v>
      </c>
      <c r="E73" s="4" t="s">
        <v>33</v>
      </c>
      <c r="F73" s="4">
        <v>88.16</v>
      </c>
      <c r="G73" s="4" t="s">
        <v>328</v>
      </c>
      <c r="H73" s="33">
        <v>86903816</v>
      </c>
      <c r="I73" s="4">
        <v>94.7</v>
      </c>
      <c r="J73" s="4" t="s">
        <v>1429</v>
      </c>
      <c r="K73" s="33" t="s">
        <v>1448</v>
      </c>
      <c r="L73" s="4" t="s">
        <v>328</v>
      </c>
    </row>
    <row r="74" spans="1:12" ht="15.75" x14ac:dyDescent="0.25">
      <c r="A74" s="4">
        <v>70</v>
      </c>
      <c r="B74" s="70" t="s">
        <v>1631</v>
      </c>
      <c r="C74" s="69" t="s">
        <v>1544</v>
      </c>
      <c r="D74" s="33" t="s">
        <v>1254</v>
      </c>
      <c r="E74" s="4" t="s">
        <v>43</v>
      </c>
      <c r="F74" s="4">
        <v>96.16</v>
      </c>
      <c r="G74" s="4" t="s">
        <v>328</v>
      </c>
      <c r="H74" s="33">
        <v>80200203</v>
      </c>
      <c r="I74" s="4">
        <v>66.569999999999993</v>
      </c>
      <c r="J74" s="4" t="s">
        <v>1429</v>
      </c>
      <c r="K74" s="33" t="s">
        <v>1448</v>
      </c>
      <c r="L74" s="4" t="s">
        <v>328</v>
      </c>
    </row>
    <row r="75" spans="1:12" ht="15.75" x14ac:dyDescent="0.25">
      <c r="A75" s="4">
        <v>71</v>
      </c>
      <c r="B75" s="70" t="s">
        <v>1632</v>
      </c>
      <c r="C75" s="69" t="s">
        <v>1633</v>
      </c>
      <c r="D75" s="33" t="s">
        <v>458</v>
      </c>
      <c r="E75" s="4" t="s">
        <v>682</v>
      </c>
      <c r="F75" s="4">
        <v>98.5</v>
      </c>
      <c r="G75" s="4" t="s">
        <v>328</v>
      </c>
      <c r="H75" s="33">
        <v>86900457</v>
      </c>
      <c r="I75" s="4">
        <v>76.09</v>
      </c>
      <c r="J75" s="4" t="s">
        <v>1429</v>
      </c>
      <c r="K75" s="33" t="s">
        <v>1448</v>
      </c>
      <c r="L75" s="4" t="s">
        <v>328</v>
      </c>
    </row>
    <row r="76" spans="1:12" ht="31.5" x14ac:dyDescent="0.25">
      <c r="A76" s="4">
        <v>72</v>
      </c>
      <c r="B76" s="70" t="s">
        <v>1634</v>
      </c>
      <c r="C76" s="69" t="s">
        <v>1635</v>
      </c>
      <c r="D76" s="33" t="s">
        <v>1636</v>
      </c>
      <c r="E76" s="4" t="s">
        <v>33</v>
      </c>
      <c r="F76" s="4">
        <v>74.66</v>
      </c>
      <c r="G76" s="4" t="s">
        <v>328</v>
      </c>
      <c r="H76" s="33">
        <v>80300207</v>
      </c>
      <c r="I76" s="4">
        <v>62.8</v>
      </c>
      <c r="J76" s="4" t="s">
        <v>1429</v>
      </c>
      <c r="K76" s="33" t="s">
        <v>1448</v>
      </c>
      <c r="L76" s="4" t="s">
        <v>328</v>
      </c>
    </row>
    <row r="77" spans="1:12" ht="30" x14ac:dyDescent="0.25">
      <c r="A77" s="4">
        <v>73</v>
      </c>
      <c r="B77" s="70" t="s">
        <v>1637</v>
      </c>
      <c r="C77" s="69" t="s">
        <v>1638</v>
      </c>
      <c r="D77" s="33" t="s">
        <v>1639</v>
      </c>
      <c r="E77" s="4" t="s">
        <v>37</v>
      </c>
      <c r="F77" s="4">
        <v>72.33</v>
      </c>
      <c r="G77" s="4" t="s">
        <v>328</v>
      </c>
      <c r="H77" s="33">
        <v>80201153</v>
      </c>
      <c r="I77" s="4">
        <v>50.09</v>
      </c>
      <c r="J77" s="4" t="s">
        <v>1429</v>
      </c>
      <c r="K77" s="33" t="s">
        <v>1448</v>
      </c>
      <c r="L77" s="4" t="s">
        <v>328</v>
      </c>
    </row>
    <row r="78" spans="1:12" ht="15.75" x14ac:dyDescent="0.25">
      <c r="A78" s="4">
        <v>74</v>
      </c>
      <c r="B78" s="70" t="s">
        <v>1640</v>
      </c>
      <c r="C78" s="69" t="s">
        <v>1641</v>
      </c>
      <c r="D78" s="33" t="s">
        <v>514</v>
      </c>
      <c r="E78" s="4" t="s">
        <v>37</v>
      </c>
      <c r="F78" s="4">
        <v>95.16</v>
      </c>
      <c r="G78" s="4" t="s">
        <v>328</v>
      </c>
      <c r="H78" s="33">
        <v>86906079</v>
      </c>
      <c r="I78" s="4">
        <v>52.56</v>
      </c>
      <c r="J78" s="4" t="s">
        <v>1429</v>
      </c>
      <c r="K78" s="33" t="s">
        <v>1448</v>
      </c>
      <c r="L78" s="4" t="s">
        <v>328</v>
      </c>
    </row>
    <row r="79" spans="1:12" ht="15.75" x14ac:dyDescent="0.25">
      <c r="A79" s="4">
        <v>75</v>
      </c>
      <c r="B79" s="70" t="s">
        <v>1642</v>
      </c>
      <c r="C79" s="69" t="s">
        <v>1643</v>
      </c>
      <c r="D79" s="33" t="s">
        <v>1644</v>
      </c>
      <c r="E79" s="4" t="s">
        <v>46</v>
      </c>
      <c r="F79" s="4">
        <v>85.16</v>
      </c>
      <c r="G79" s="4" t="s">
        <v>328</v>
      </c>
      <c r="H79" s="33">
        <v>86915050</v>
      </c>
      <c r="I79" s="4">
        <v>75.72</v>
      </c>
      <c r="J79" s="4" t="s">
        <v>1429</v>
      </c>
      <c r="K79" s="33" t="s">
        <v>1448</v>
      </c>
      <c r="L79" s="4" t="s">
        <v>328</v>
      </c>
    </row>
    <row r="80" spans="1:12" ht="30" x14ac:dyDescent="0.25">
      <c r="A80" s="4">
        <v>76</v>
      </c>
      <c r="B80" s="70" t="s">
        <v>1645</v>
      </c>
      <c r="C80" s="69" t="s">
        <v>1646</v>
      </c>
      <c r="D80" s="33" t="s">
        <v>1647</v>
      </c>
      <c r="E80" s="4" t="s">
        <v>37</v>
      </c>
      <c r="F80" s="4">
        <v>85</v>
      </c>
      <c r="G80" s="4" t="s">
        <v>328</v>
      </c>
      <c r="H80" s="33">
        <v>86917992</v>
      </c>
      <c r="I80" s="4">
        <v>73.099999999999994</v>
      </c>
      <c r="J80" s="4" t="s">
        <v>1429</v>
      </c>
      <c r="K80" s="33" t="s">
        <v>1441</v>
      </c>
      <c r="L80" s="4" t="s">
        <v>328</v>
      </c>
    </row>
    <row r="81" spans="1:12" ht="15.75" x14ac:dyDescent="0.25">
      <c r="A81" s="4">
        <v>77</v>
      </c>
      <c r="B81" s="70" t="s">
        <v>1648</v>
      </c>
      <c r="C81" s="69" t="s">
        <v>1649</v>
      </c>
      <c r="D81" s="33" t="s">
        <v>1650</v>
      </c>
      <c r="E81" s="4" t="s">
        <v>39</v>
      </c>
      <c r="F81" s="105">
        <v>90.66</v>
      </c>
      <c r="G81" s="4" t="s">
        <v>328</v>
      </c>
      <c r="H81" s="33">
        <v>86903816</v>
      </c>
      <c r="I81" s="4">
        <v>55.43</v>
      </c>
      <c r="J81" s="4" t="s">
        <v>1429</v>
      </c>
      <c r="K81" s="33" t="s">
        <v>1448</v>
      </c>
      <c r="L81" s="4" t="s">
        <v>328</v>
      </c>
    </row>
    <row r="82" spans="1:12" ht="31.5" x14ac:dyDescent="0.25">
      <c r="A82" s="4">
        <v>78</v>
      </c>
      <c r="B82" s="70" t="s">
        <v>1651</v>
      </c>
      <c r="C82" s="69" t="s">
        <v>1652</v>
      </c>
      <c r="D82" s="33" t="s">
        <v>1653</v>
      </c>
      <c r="E82" s="4" t="s">
        <v>33</v>
      </c>
      <c r="F82" s="105">
        <v>92.5</v>
      </c>
      <c r="G82" s="4" t="s">
        <v>328</v>
      </c>
      <c r="H82" s="33">
        <v>80302024</v>
      </c>
      <c r="I82" s="4">
        <v>77.41</v>
      </c>
      <c r="J82" s="4" t="s">
        <v>1429</v>
      </c>
      <c r="K82" s="33" t="s">
        <v>1448</v>
      </c>
      <c r="L82" s="4" t="s">
        <v>328</v>
      </c>
    </row>
    <row r="83" spans="1:12" ht="15.75" x14ac:dyDescent="0.25">
      <c r="A83" s="4">
        <v>79</v>
      </c>
      <c r="B83" s="70" t="s">
        <v>1654</v>
      </c>
      <c r="C83" s="69" t="s">
        <v>93</v>
      </c>
      <c r="D83" s="33" t="s">
        <v>1655</v>
      </c>
      <c r="E83" s="4" t="s">
        <v>33</v>
      </c>
      <c r="F83" s="105">
        <v>95.66</v>
      </c>
      <c r="G83" s="4" t="s">
        <v>328</v>
      </c>
      <c r="H83" s="33">
        <v>80302353</v>
      </c>
      <c r="I83" s="4">
        <v>85.19</v>
      </c>
      <c r="J83" s="4" t="s">
        <v>1429</v>
      </c>
      <c r="K83" s="33" t="s">
        <v>1441</v>
      </c>
      <c r="L83" s="4" t="s">
        <v>328</v>
      </c>
    </row>
    <row r="84" spans="1:12" ht="30" x14ac:dyDescent="0.25">
      <c r="A84" s="4">
        <v>80</v>
      </c>
      <c r="B84" s="70" t="s">
        <v>1656</v>
      </c>
      <c r="C84" s="69" t="s">
        <v>1657</v>
      </c>
      <c r="D84" s="33" t="s">
        <v>1658</v>
      </c>
      <c r="E84" s="4" t="s">
        <v>61</v>
      </c>
      <c r="F84" s="105">
        <v>78.5</v>
      </c>
      <c r="G84" s="4" t="s">
        <v>328</v>
      </c>
      <c r="H84" s="33">
        <v>80300790</v>
      </c>
      <c r="I84" s="4">
        <v>53.16</v>
      </c>
      <c r="J84" s="4" t="s">
        <v>1429</v>
      </c>
      <c r="K84" s="33" t="s">
        <v>1448</v>
      </c>
      <c r="L84" s="4" t="s">
        <v>328</v>
      </c>
    </row>
    <row r="85" spans="1:12" ht="15.75" x14ac:dyDescent="0.25">
      <c r="A85" s="4">
        <v>81</v>
      </c>
      <c r="B85" s="70" t="s">
        <v>1659</v>
      </c>
      <c r="C85" s="69" t="s">
        <v>1277</v>
      </c>
      <c r="D85" s="33" t="s">
        <v>609</v>
      </c>
      <c r="E85" s="4" t="s">
        <v>33</v>
      </c>
      <c r="F85" s="105">
        <v>95.85</v>
      </c>
      <c r="G85" s="4" t="s">
        <v>328</v>
      </c>
      <c r="H85" s="33">
        <v>80303870</v>
      </c>
      <c r="I85" s="4">
        <v>91.23</v>
      </c>
      <c r="J85" s="4" t="s">
        <v>1429</v>
      </c>
      <c r="K85" s="33" t="s">
        <v>1448</v>
      </c>
      <c r="L85" s="4" t="s">
        <v>328</v>
      </c>
    </row>
    <row r="86" spans="1:12" ht="15.75" x14ac:dyDescent="0.25">
      <c r="A86" s="4">
        <v>82</v>
      </c>
      <c r="B86" s="70" t="s">
        <v>1660</v>
      </c>
      <c r="C86" s="107" t="s">
        <v>1661</v>
      </c>
      <c r="D86" s="33" t="s">
        <v>1024</v>
      </c>
      <c r="E86" s="105" t="s">
        <v>37</v>
      </c>
      <c r="F86" s="105">
        <v>94.5</v>
      </c>
      <c r="G86" s="4" t="s">
        <v>328</v>
      </c>
      <c r="H86" s="33">
        <v>80302742</v>
      </c>
      <c r="I86" s="4">
        <v>62.1</v>
      </c>
      <c r="J86" s="4" t="s">
        <v>1429</v>
      </c>
      <c r="K86" s="33" t="s">
        <v>1448</v>
      </c>
      <c r="L86" s="4" t="s">
        <v>328</v>
      </c>
    </row>
    <row r="87" spans="1:12" ht="15.75" x14ac:dyDescent="0.25">
      <c r="A87" s="4">
        <v>83</v>
      </c>
      <c r="B87" s="70" t="s">
        <v>1662</v>
      </c>
      <c r="C87" s="69" t="s">
        <v>1663</v>
      </c>
      <c r="D87" s="33" t="s">
        <v>776</v>
      </c>
      <c r="E87" s="4" t="s">
        <v>33</v>
      </c>
      <c r="F87" s="4">
        <v>96.5</v>
      </c>
      <c r="G87" s="4" t="s">
        <v>328</v>
      </c>
      <c r="H87" s="33">
        <v>86911040</v>
      </c>
      <c r="I87" s="4">
        <v>87.23</v>
      </c>
      <c r="J87" s="4" t="s">
        <v>1429</v>
      </c>
      <c r="K87" s="33" t="s">
        <v>1448</v>
      </c>
      <c r="L87" s="4" t="s">
        <v>328</v>
      </c>
    </row>
    <row r="88" spans="1:12" ht="31.5" x14ac:dyDescent="0.25">
      <c r="A88" s="4">
        <v>84</v>
      </c>
      <c r="B88" s="70" t="s">
        <v>1664</v>
      </c>
      <c r="C88" s="69" t="s">
        <v>1665</v>
      </c>
      <c r="D88" s="33" t="s">
        <v>1666</v>
      </c>
      <c r="E88" s="4" t="s">
        <v>39</v>
      </c>
      <c r="F88" s="4">
        <v>94.83</v>
      </c>
      <c r="G88" s="4" t="s">
        <v>328</v>
      </c>
      <c r="H88" s="33">
        <v>80202014</v>
      </c>
      <c r="I88" s="4">
        <v>76.3</v>
      </c>
      <c r="J88" s="4" t="s">
        <v>1429</v>
      </c>
      <c r="K88" s="33" t="s">
        <v>1448</v>
      </c>
      <c r="L88" s="4" t="s">
        <v>328</v>
      </c>
    </row>
    <row r="89" spans="1:12" ht="31.5" x14ac:dyDescent="0.25">
      <c r="A89" s="4">
        <v>85</v>
      </c>
      <c r="B89" s="70" t="s">
        <v>1667</v>
      </c>
      <c r="C89" s="107" t="s">
        <v>1668</v>
      </c>
      <c r="D89" s="33" t="s">
        <v>1669</v>
      </c>
      <c r="E89" s="105" t="s">
        <v>33</v>
      </c>
      <c r="F89" s="105">
        <v>97</v>
      </c>
      <c r="G89" s="4" t="s">
        <v>328</v>
      </c>
      <c r="H89" s="33">
        <v>80204374</v>
      </c>
      <c r="I89" s="4">
        <v>81.900000000000006</v>
      </c>
      <c r="J89" s="4" t="s">
        <v>1429</v>
      </c>
      <c r="K89" s="33" t="s">
        <v>1448</v>
      </c>
      <c r="L89" s="4" t="s">
        <v>328</v>
      </c>
    </row>
    <row r="90" spans="1:12" ht="15.75" x14ac:dyDescent="0.25">
      <c r="A90" s="4">
        <v>86</v>
      </c>
      <c r="B90" s="70" t="s">
        <v>1670</v>
      </c>
      <c r="C90" s="69" t="s">
        <v>1671</v>
      </c>
      <c r="D90" s="33" t="s">
        <v>444</v>
      </c>
      <c r="E90" s="4" t="s">
        <v>33</v>
      </c>
      <c r="F90" s="4">
        <v>94.16</v>
      </c>
      <c r="G90" s="4" t="s">
        <v>328</v>
      </c>
      <c r="H90" s="33">
        <v>64320159</v>
      </c>
      <c r="I90" s="4">
        <v>92.6</v>
      </c>
      <c r="J90" s="4" t="s">
        <v>1429</v>
      </c>
      <c r="K90" s="33" t="s">
        <v>1549</v>
      </c>
      <c r="L90" s="4" t="s">
        <v>328</v>
      </c>
    </row>
    <row r="91" spans="1:12" ht="30" x14ac:dyDescent="0.25">
      <c r="A91" s="4">
        <v>87</v>
      </c>
      <c r="B91" s="70" t="s">
        <v>1672</v>
      </c>
      <c r="C91" s="69" t="s">
        <v>1673</v>
      </c>
      <c r="D91" s="33" t="s">
        <v>1674</v>
      </c>
      <c r="E91" s="4" t="s">
        <v>43</v>
      </c>
      <c r="F91" s="4">
        <v>88.5</v>
      </c>
      <c r="G91" s="4" t="s">
        <v>328</v>
      </c>
      <c r="H91" s="33">
        <v>61717924</v>
      </c>
      <c r="I91" s="4">
        <v>80.7</v>
      </c>
      <c r="J91" s="4" t="s">
        <v>1429</v>
      </c>
      <c r="K91" s="33" t="s">
        <v>1448</v>
      </c>
      <c r="L91" s="4" t="s">
        <v>328</v>
      </c>
    </row>
    <row r="92" spans="1:12" ht="31.5" x14ac:dyDescent="0.25">
      <c r="A92" s="4">
        <v>88</v>
      </c>
      <c r="B92" s="70" t="s">
        <v>1675</v>
      </c>
      <c r="C92" s="69" t="s">
        <v>1641</v>
      </c>
      <c r="D92" s="33" t="s">
        <v>1676</v>
      </c>
      <c r="E92" s="4" t="s">
        <v>33</v>
      </c>
      <c r="F92" s="4">
        <v>95.33</v>
      </c>
      <c r="G92" s="4" t="s">
        <v>328</v>
      </c>
      <c r="H92" s="33">
        <v>80203432</v>
      </c>
      <c r="I92" s="4">
        <v>80.3</v>
      </c>
      <c r="J92" s="4" t="s">
        <v>1429</v>
      </c>
      <c r="K92" s="33" t="s">
        <v>1549</v>
      </c>
      <c r="L92" s="4" t="s">
        <v>328</v>
      </c>
    </row>
    <row r="93" spans="1:12" ht="30" x14ac:dyDescent="0.25">
      <c r="A93" s="4">
        <v>89</v>
      </c>
      <c r="B93" s="70" t="s">
        <v>1677</v>
      </c>
      <c r="C93" s="69" t="s">
        <v>1678</v>
      </c>
      <c r="D93" s="33" t="s">
        <v>1679</v>
      </c>
      <c r="E93" s="4" t="s">
        <v>37</v>
      </c>
      <c r="F93" s="4">
        <v>77</v>
      </c>
      <c r="G93" s="4" t="s">
        <v>328</v>
      </c>
      <c r="H93" s="33">
        <v>80201633</v>
      </c>
      <c r="I93" s="4">
        <v>76.8</v>
      </c>
      <c r="J93" s="4" t="s">
        <v>1429</v>
      </c>
      <c r="K93" s="33" t="s">
        <v>1448</v>
      </c>
      <c r="L93" s="4" t="s">
        <v>328</v>
      </c>
    </row>
    <row r="94" spans="1:12" ht="15.75" x14ac:dyDescent="0.25">
      <c r="A94" s="4">
        <v>90</v>
      </c>
      <c r="B94" s="70" t="s">
        <v>1680</v>
      </c>
      <c r="C94" s="69" t="s">
        <v>1681</v>
      </c>
      <c r="D94" s="33" t="s">
        <v>1682</v>
      </c>
      <c r="E94" s="4" t="s">
        <v>37</v>
      </c>
      <c r="F94" s="4">
        <v>94.83</v>
      </c>
      <c r="G94" s="4" t="s">
        <v>328</v>
      </c>
      <c r="H94" s="33">
        <v>80203825</v>
      </c>
      <c r="I94" s="4">
        <v>69.2</v>
      </c>
      <c r="J94" s="4" t="s">
        <v>1429</v>
      </c>
      <c r="K94" s="33" t="s">
        <v>1441</v>
      </c>
      <c r="L94" s="4" t="s">
        <v>328</v>
      </c>
    </row>
    <row r="95" spans="1:12" ht="31.5" x14ac:dyDescent="0.25">
      <c r="A95" s="4">
        <v>91</v>
      </c>
      <c r="B95" s="70" t="s">
        <v>1683</v>
      </c>
      <c r="C95" s="69" t="s">
        <v>1684</v>
      </c>
      <c r="D95" s="33" t="s">
        <v>518</v>
      </c>
      <c r="E95" s="4" t="s">
        <v>41</v>
      </c>
      <c r="F95" s="4">
        <v>88.83</v>
      </c>
      <c r="G95" s="4" t="s">
        <v>328</v>
      </c>
      <c r="H95" s="33">
        <v>86907104</v>
      </c>
      <c r="I95" s="4">
        <v>64.099999999999994</v>
      </c>
      <c r="J95" s="4" t="s">
        <v>1429</v>
      </c>
      <c r="K95" s="33" t="s">
        <v>1448</v>
      </c>
      <c r="L95" s="4" t="s">
        <v>328</v>
      </c>
    </row>
    <row r="96" spans="1:12" ht="30" x14ac:dyDescent="0.25">
      <c r="A96" s="4">
        <v>92</v>
      </c>
      <c r="B96" s="70" t="s">
        <v>1685</v>
      </c>
      <c r="C96" s="69" t="s">
        <v>1686</v>
      </c>
      <c r="D96" s="33" t="s">
        <v>1687</v>
      </c>
      <c r="E96" s="4" t="s">
        <v>37</v>
      </c>
      <c r="F96" s="4">
        <v>92.66</v>
      </c>
      <c r="G96" s="4" t="s">
        <v>328</v>
      </c>
      <c r="H96" s="33">
        <v>80202501</v>
      </c>
      <c r="I96" s="4">
        <v>62.4</v>
      </c>
      <c r="J96" s="4" t="s">
        <v>1429</v>
      </c>
      <c r="K96" s="33" t="s">
        <v>1448</v>
      </c>
      <c r="L96" s="4" t="s">
        <v>328</v>
      </c>
    </row>
    <row r="97" spans="1:12" ht="30" x14ac:dyDescent="0.25">
      <c r="A97" s="4">
        <v>93</v>
      </c>
      <c r="B97" s="70" t="s">
        <v>1688</v>
      </c>
      <c r="C97" s="69" t="s">
        <v>1689</v>
      </c>
      <c r="D97" s="33" t="s">
        <v>1690</v>
      </c>
      <c r="E97" s="4" t="s">
        <v>33</v>
      </c>
      <c r="F97" s="4">
        <v>75.66</v>
      </c>
      <c r="G97" s="4" t="s">
        <v>328</v>
      </c>
      <c r="H97" s="33">
        <v>80203797</v>
      </c>
      <c r="I97" s="4">
        <v>54.7</v>
      </c>
      <c r="J97" s="4" t="s">
        <v>1429</v>
      </c>
      <c r="K97" s="33" t="s">
        <v>1448</v>
      </c>
      <c r="L97" s="4" t="s">
        <v>328</v>
      </c>
    </row>
    <row r="98" spans="1:12" ht="15.75" x14ac:dyDescent="0.25">
      <c r="A98" s="4">
        <v>94</v>
      </c>
      <c r="B98" s="70" t="s">
        <v>1691</v>
      </c>
      <c r="C98" s="69" t="s">
        <v>1692</v>
      </c>
      <c r="D98" s="33" t="s">
        <v>1693</v>
      </c>
      <c r="E98" s="4" t="s">
        <v>46</v>
      </c>
      <c r="F98" s="4">
        <v>80.66</v>
      </c>
      <c r="G98" s="4" t="s">
        <v>328</v>
      </c>
      <c r="H98" s="33">
        <v>80303463</v>
      </c>
      <c r="I98" s="4">
        <v>54.5</v>
      </c>
      <c r="J98" s="4" t="s">
        <v>1429</v>
      </c>
      <c r="K98" s="33" t="s">
        <v>1595</v>
      </c>
      <c r="L98" s="4" t="s">
        <v>328</v>
      </c>
    </row>
    <row r="99" spans="1:12" ht="15.75" x14ac:dyDescent="0.25">
      <c r="A99" s="4">
        <v>95</v>
      </c>
      <c r="B99" s="70" t="s">
        <v>1694</v>
      </c>
      <c r="C99" s="69" t="s">
        <v>1695</v>
      </c>
      <c r="D99" s="33" t="s">
        <v>1696</v>
      </c>
      <c r="E99" s="4" t="s">
        <v>39</v>
      </c>
      <c r="F99" s="4">
        <v>72.66</v>
      </c>
      <c r="G99" s="4" t="s">
        <v>328</v>
      </c>
      <c r="H99" s="33">
        <v>80305073</v>
      </c>
      <c r="I99" s="4">
        <v>51.8</v>
      </c>
      <c r="J99" s="4" t="s">
        <v>1429</v>
      </c>
      <c r="K99" s="33" t="s">
        <v>1448</v>
      </c>
      <c r="L99" s="4" t="s">
        <v>328</v>
      </c>
    </row>
    <row r="100" spans="1:12" ht="30" x14ac:dyDescent="0.25">
      <c r="A100" s="4">
        <v>96</v>
      </c>
      <c r="B100" s="70" t="s">
        <v>1697</v>
      </c>
      <c r="C100" s="69" t="s">
        <v>1698</v>
      </c>
      <c r="D100" s="33" t="s">
        <v>1699</v>
      </c>
      <c r="E100" s="4" t="s">
        <v>33</v>
      </c>
      <c r="F100" s="4">
        <v>86.5</v>
      </c>
      <c r="G100" s="4" t="s">
        <v>328</v>
      </c>
      <c r="H100" s="33">
        <v>80301649</v>
      </c>
      <c r="I100" s="4">
        <v>51.5</v>
      </c>
      <c r="J100" s="4" t="s">
        <v>1429</v>
      </c>
      <c r="K100" s="33" t="s">
        <v>1700</v>
      </c>
      <c r="L100" s="4" t="s">
        <v>328</v>
      </c>
    </row>
    <row r="101" spans="1:12" ht="15.75" x14ac:dyDescent="0.25">
      <c r="A101" s="4">
        <v>97</v>
      </c>
      <c r="B101" s="70" t="s">
        <v>1701</v>
      </c>
      <c r="C101" s="69" t="s">
        <v>1702</v>
      </c>
      <c r="D101" s="33" t="s">
        <v>1703</v>
      </c>
      <c r="E101" s="4" t="s">
        <v>37</v>
      </c>
      <c r="F101" s="4">
        <v>77.33</v>
      </c>
      <c r="G101" s="4" t="s">
        <v>328</v>
      </c>
      <c r="H101" s="33">
        <v>63600413</v>
      </c>
      <c r="I101" s="4">
        <v>50.1</v>
      </c>
      <c r="J101" s="4" t="s">
        <v>1429</v>
      </c>
      <c r="K101" s="33" t="s">
        <v>1448</v>
      </c>
      <c r="L101" s="4" t="s">
        <v>328</v>
      </c>
    </row>
    <row r="102" spans="1:12" ht="30" x14ac:dyDescent="0.25">
      <c r="A102" s="4">
        <v>98</v>
      </c>
      <c r="B102" s="70" t="s">
        <v>1704</v>
      </c>
      <c r="C102" s="69" t="s">
        <v>1705</v>
      </c>
      <c r="D102" s="33" t="s">
        <v>1706</v>
      </c>
      <c r="E102" s="4" t="s">
        <v>43</v>
      </c>
      <c r="F102" s="4">
        <v>85.66</v>
      </c>
      <c r="G102" s="4" t="s">
        <v>328</v>
      </c>
      <c r="H102" s="33">
        <v>80302883</v>
      </c>
      <c r="I102" s="4">
        <v>46.2</v>
      </c>
      <c r="J102" s="4" t="s">
        <v>1429</v>
      </c>
      <c r="K102" s="33" t="s">
        <v>1448</v>
      </c>
      <c r="L102" s="4" t="s">
        <v>328</v>
      </c>
    </row>
    <row r="103" spans="1:12" ht="30" x14ac:dyDescent="0.25">
      <c r="A103" s="4">
        <v>99</v>
      </c>
      <c r="B103" s="70" t="s">
        <v>1707</v>
      </c>
      <c r="C103" s="69" t="s">
        <v>1708</v>
      </c>
      <c r="D103" s="33" t="s">
        <v>1709</v>
      </c>
      <c r="E103" s="4" t="s">
        <v>37</v>
      </c>
      <c r="F103" s="4">
        <v>78.5</v>
      </c>
      <c r="G103" s="4" t="s">
        <v>328</v>
      </c>
      <c r="H103" s="33">
        <v>86904572</v>
      </c>
      <c r="I103" s="4">
        <v>43.3</v>
      </c>
      <c r="J103" s="4" t="s">
        <v>1429</v>
      </c>
      <c r="K103" s="33" t="s">
        <v>1549</v>
      </c>
      <c r="L103" s="4" t="s">
        <v>328</v>
      </c>
    </row>
    <row r="104" spans="1:12" ht="30" x14ac:dyDescent="0.25">
      <c r="A104" s="4">
        <v>100</v>
      </c>
      <c r="B104" s="70" t="s">
        <v>1710</v>
      </c>
      <c r="C104" s="69" t="s">
        <v>1452</v>
      </c>
      <c r="D104" s="33" t="s">
        <v>591</v>
      </c>
      <c r="E104" s="4" t="s">
        <v>41</v>
      </c>
      <c r="F104" s="4">
        <v>75.66</v>
      </c>
      <c r="G104" s="4" t="s">
        <v>328</v>
      </c>
      <c r="H104" s="33">
        <v>60601168</v>
      </c>
      <c r="I104" s="4">
        <v>42.1</v>
      </c>
      <c r="J104" s="4" t="s">
        <v>1429</v>
      </c>
      <c r="K104" s="33" t="s">
        <v>1595</v>
      </c>
      <c r="L104" s="4" t="s">
        <v>328</v>
      </c>
    </row>
    <row r="105" spans="1:12" ht="15.75" x14ac:dyDescent="0.25">
      <c r="A105" s="77"/>
      <c r="B105" s="77"/>
      <c r="C105" s="77"/>
      <c r="D105" s="77"/>
      <c r="E105" s="77"/>
      <c r="F105" s="77"/>
      <c r="G105" s="77"/>
      <c r="H105" s="77"/>
      <c r="I105" s="77"/>
      <c r="J105" s="77"/>
      <c r="K105" s="77"/>
      <c r="L105" s="77"/>
    </row>
    <row r="106" spans="1:12" ht="15.75" x14ac:dyDescent="0.25">
      <c r="A106" s="77"/>
      <c r="B106" s="77"/>
      <c r="C106" s="77"/>
      <c r="D106" s="77"/>
      <c r="E106" s="77"/>
      <c r="F106" s="77"/>
      <c r="G106" s="77"/>
      <c r="H106" s="77"/>
      <c r="I106" s="77"/>
      <c r="J106" s="77"/>
      <c r="K106" s="77"/>
      <c r="L106" s="77"/>
    </row>
    <row r="107" spans="1:12" ht="15.75" x14ac:dyDescent="0.25">
      <c r="A107" s="74">
        <v>1</v>
      </c>
      <c r="B107" s="122" t="s">
        <v>732</v>
      </c>
      <c r="C107" s="122"/>
      <c r="D107" s="122"/>
      <c r="E107" s="122"/>
      <c r="F107" s="122"/>
      <c r="G107" s="122"/>
      <c r="H107" s="122"/>
      <c r="I107" s="122"/>
      <c r="J107" s="122"/>
      <c r="K107" s="122"/>
      <c r="L107" s="122"/>
    </row>
    <row r="108" spans="1:12" ht="15.75" x14ac:dyDescent="0.25">
      <c r="A108" s="74">
        <v>2</v>
      </c>
      <c r="B108" s="122" t="s">
        <v>734</v>
      </c>
      <c r="C108" s="122"/>
      <c r="D108" s="122"/>
      <c r="E108" s="122"/>
      <c r="F108" s="122"/>
      <c r="G108" s="122"/>
      <c r="H108" s="122"/>
      <c r="I108" s="122"/>
      <c r="J108" s="122"/>
      <c r="K108" s="122"/>
      <c r="L108" s="122"/>
    </row>
    <row r="109" spans="1:12" ht="15.75" x14ac:dyDescent="0.25">
      <c r="A109" s="74">
        <v>3</v>
      </c>
      <c r="B109" s="122" t="s">
        <v>735</v>
      </c>
      <c r="C109" s="122"/>
      <c r="D109" s="122"/>
      <c r="E109" s="122"/>
      <c r="F109" s="122"/>
      <c r="G109" s="122"/>
      <c r="H109" s="122"/>
      <c r="I109" s="122"/>
      <c r="J109" s="122"/>
      <c r="K109" s="122"/>
      <c r="L109" s="122"/>
    </row>
    <row r="110" spans="1:12" ht="15.75" x14ac:dyDescent="0.25">
      <c r="A110" s="74">
        <v>4</v>
      </c>
      <c r="B110" s="122" t="s">
        <v>736</v>
      </c>
      <c r="C110" s="122"/>
      <c r="D110" s="122"/>
      <c r="E110" s="122"/>
      <c r="F110" s="122"/>
      <c r="G110" s="122"/>
      <c r="H110" s="122"/>
      <c r="I110" s="122"/>
      <c r="J110" s="122"/>
      <c r="K110" s="122"/>
      <c r="L110" s="122"/>
    </row>
    <row r="111" spans="1:12" ht="15.75" x14ac:dyDescent="0.25">
      <c r="A111" s="74">
        <v>5</v>
      </c>
      <c r="B111" s="122" t="s">
        <v>1711</v>
      </c>
      <c r="C111" s="122"/>
      <c r="D111" s="122"/>
      <c r="E111" s="122"/>
      <c r="F111" s="122"/>
      <c r="G111" s="122"/>
      <c r="H111" s="122"/>
      <c r="I111" s="122"/>
      <c r="J111" s="122"/>
      <c r="K111" s="122"/>
      <c r="L111" s="122"/>
    </row>
    <row r="112" spans="1:12" ht="15.75" x14ac:dyDescent="0.25">
      <c r="A112" s="74">
        <v>6</v>
      </c>
      <c r="B112" s="122" t="s">
        <v>1712</v>
      </c>
      <c r="C112" s="122"/>
      <c r="D112" s="122"/>
      <c r="E112" s="122"/>
      <c r="F112" s="122"/>
      <c r="G112" s="122"/>
      <c r="H112" s="122"/>
      <c r="I112" s="122"/>
      <c r="J112" s="122"/>
      <c r="K112" s="122"/>
      <c r="L112" s="122"/>
    </row>
    <row r="113" spans="1:12" ht="15.75" x14ac:dyDescent="0.25">
      <c r="A113" s="74">
        <v>7</v>
      </c>
      <c r="B113" s="122" t="s">
        <v>1713</v>
      </c>
      <c r="C113" s="122"/>
      <c r="D113" s="122"/>
      <c r="E113" s="122"/>
      <c r="F113" s="122"/>
      <c r="G113" s="122"/>
      <c r="H113" s="122"/>
      <c r="I113" s="122"/>
      <c r="J113" s="122"/>
      <c r="K113" s="122"/>
      <c r="L113" s="122"/>
    </row>
    <row r="114" spans="1:12" ht="15.75" x14ac:dyDescent="0.25">
      <c r="A114" s="74">
        <v>8</v>
      </c>
      <c r="B114" s="122" t="s">
        <v>1132</v>
      </c>
      <c r="C114" s="122"/>
      <c r="D114" s="122"/>
      <c r="E114" s="122"/>
      <c r="F114" s="122"/>
      <c r="G114" s="122"/>
      <c r="H114" s="122"/>
      <c r="I114" s="122"/>
      <c r="J114" s="122"/>
      <c r="K114" s="122"/>
      <c r="L114" s="122"/>
    </row>
    <row r="115" spans="1:12" ht="15.75" x14ac:dyDescent="0.25">
      <c r="A115" s="74">
        <v>9</v>
      </c>
      <c r="B115" s="122" t="s">
        <v>741</v>
      </c>
      <c r="C115" s="122"/>
      <c r="D115" s="122"/>
      <c r="E115" s="122"/>
      <c r="F115" s="122"/>
      <c r="G115" s="122"/>
      <c r="H115" s="122"/>
      <c r="I115" s="122"/>
      <c r="J115" s="122"/>
      <c r="K115" s="122"/>
      <c r="L115" s="122"/>
    </row>
    <row r="116" spans="1:12" ht="15.75" x14ac:dyDescent="0.25">
      <c r="A116" s="74">
        <v>10</v>
      </c>
      <c r="B116" s="122" t="s">
        <v>1714</v>
      </c>
      <c r="C116" s="122"/>
      <c r="D116" s="122"/>
      <c r="E116" s="122"/>
      <c r="F116" s="122"/>
      <c r="G116" s="122"/>
      <c r="H116" s="122"/>
      <c r="I116" s="122"/>
      <c r="J116" s="122"/>
      <c r="K116" s="122"/>
      <c r="L116" s="122"/>
    </row>
    <row r="117" spans="1:12" ht="15.75" x14ac:dyDescent="0.25">
      <c r="A117" s="77"/>
      <c r="B117" s="77"/>
      <c r="C117" s="77"/>
      <c r="D117" s="77"/>
      <c r="E117" s="77"/>
      <c r="F117" s="77"/>
      <c r="G117" s="77"/>
      <c r="H117" s="77"/>
      <c r="I117" s="77"/>
      <c r="J117" s="77"/>
      <c r="K117" s="77"/>
      <c r="L117" s="77"/>
    </row>
    <row r="118" spans="1:12" ht="15.75" x14ac:dyDescent="0.25">
      <c r="A118" s="77"/>
      <c r="B118" s="121" t="s">
        <v>743</v>
      </c>
      <c r="C118" s="121"/>
      <c r="D118" s="121"/>
      <c r="E118" s="121"/>
      <c r="F118" s="121"/>
      <c r="G118" s="121"/>
      <c r="H118" s="121"/>
      <c r="I118" s="121"/>
      <c r="J118" s="121"/>
      <c r="K118" s="121"/>
      <c r="L118" s="121"/>
    </row>
    <row r="119" spans="1:12" ht="39.75" customHeight="1" x14ac:dyDescent="0.25">
      <c r="A119" s="77"/>
      <c r="B119" s="122" t="s">
        <v>744</v>
      </c>
      <c r="C119" s="122"/>
      <c r="D119" s="122"/>
      <c r="E119" s="122"/>
      <c r="F119" s="122"/>
      <c r="G119" s="122"/>
      <c r="H119" s="122"/>
      <c r="I119" s="122"/>
      <c r="J119" s="122"/>
      <c r="K119" s="122"/>
      <c r="L119" s="122"/>
    </row>
    <row r="120" spans="1:12" ht="40.5" customHeight="1" x14ac:dyDescent="0.25">
      <c r="A120" s="77"/>
      <c r="B120" s="122" t="s">
        <v>745</v>
      </c>
      <c r="C120" s="122"/>
      <c r="D120" s="122"/>
      <c r="E120" s="122"/>
      <c r="F120" s="122"/>
      <c r="G120" s="122"/>
      <c r="H120" s="122"/>
      <c r="I120" s="122"/>
      <c r="J120" s="122"/>
      <c r="K120" s="122"/>
      <c r="L120" s="122"/>
    </row>
    <row r="121" spans="1:12" ht="15.75" x14ac:dyDescent="0.25">
      <c r="A121" s="77"/>
      <c r="B121" s="77"/>
      <c r="C121" s="77"/>
      <c r="D121" s="77"/>
      <c r="E121" s="77"/>
      <c r="F121" s="77"/>
      <c r="G121" s="77"/>
      <c r="H121" s="77"/>
      <c r="I121" s="77"/>
      <c r="J121" s="77"/>
      <c r="K121" s="77"/>
      <c r="L121" s="77"/>
    </row>
    <row r="122" spans="1:12" ht="15.75" x14ac:dyDescent="0.25">
      <c r="A122" s="77"/>
      <c r="B122" s="77"/>
      <c r="C122" s="77"/>
      <c r="D122" s="77"/>
      <c r="E122" s="77"/>
      <c r="F122" s="77"/>
      <c r="G122" s="77"/>
      <c r="H122" s="77"/>
      <c r="I122" s="77"/>
      <c r="J122" s="77"/>
      <c r="K122" s="77"/>
      <c r="L122" s="77"/>
    </row>
    <row r="124" spans="1:12" ht="15.75" x14ac:dyDescent="0.25">
      <c r="H124" s="123" t="s">
        <v>746</v>
      </c>
      <c r="I124" s="123"/>
      <c r="J124" s="123"/>
    </row>
  </sheetData>
  <mergeCells count="16">
    <mergeCell ref="B110:L110"/>
    <mergeCell ref="A1:L1"/>
    <mergeCell ref="A2:L2"/>
    <mergeCell ref="B107:L107"/>
    <mergeCell ref="B108:L108"/>
    <mergeCell ref="B109:L109"/>
    <mergeCell ref="B118:L118"/>
    <mergeCell ref="B119:L119"/>
    <mergeCell ref="B120:L120"/>
    <mergeCell ref="H124:J124"/>
    <mergeCell ref="B111:L111"/>
    <mergeCell ref="B112:L112"/>
    <mergeCell ref="B113:L113"/>
    <mergeCell ref="B114:L114"/>
    <mergeCell ref="B115:L115"/>
    <mergeCell ref="B116:L116"/>
  </mergeCells>
  <pageMargins left="0.3" right="0.17" top="0.42" bottom="0.44" header="0.3" footer="0.3"/>
  <pageSetup paperSize="9" scale="88" fitToHeight="0" orientation="landscape" r:id="rId1"/>
  <headerFooter>
    <oddFooter>Page &amp;P of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6"/>
  <sheetViews>
    <sheetView topLeftCell="A13" workbookViewId="0">
      <selection activeCell="F24" sqref="F24"/>
    </sheetView>
  </sheetViews>
  <sheetFormatPr defaultRowHeight="15" x14ac:dyDescent="0.25"/>
  <cols>
    <col min="1" max="1" width="5.28515625" style="40" customWidth="1"/>
    <col min="2" max="2" width="38.7109375" style="40" customWidth="1"/>
    <col min="3" max="3" width="12.28515625" style="40" customWidth="1"/>
    <col min="4" max="4" width="8.28515625" style="40" customWidth="1"/>
    <col min="5" max="5" width="15.42578125" style="40" customWidth="1"/>
    <col min="6" max="6" width="38.28515625" style="40" customWidth="1"/>
    <col min="7" max="7" width="15" style="40" customWidth="1"/>
    <col min="8" max="8" width="17.7109375" style="40" customWidth="1"/>
    <col min="9" max="16384" width="9.140625" style="40"/>
  </cols>
  <sheetData>
    <row r="1" spans="1:10" ht="18.75" x14ac:dyDescent="0.25">
      <c r="A1" s="128" t="s">
        <v>0</v>
      </c>
      <c r="B1" s="128"/>
      <c r="C1" s="128"/>
      <c r="D1" s="128"/>
      <c r="E1" s="128"/>
      <c r="F1" s="128"/>
      <c r="G1" s="128"/>
      <c r="H1" s="128"/>
    </row>
    <row r="2" spans="1:10" ht="24" customHeight="1" x14ac:dyDescent="0.25">
      <c r="A2" s="129" t="s">
        <v>250</v>
      </c>
      <c r="B2" s="129"/>
      <c r="C2" s="129"/>
      <c r="D2" s="129"/>
      <c r="E2" s="129"/>
      <c r="F2" s="129"/>
      <c r="G2" s="129"/>
      <c r="H2" s="129"/>
    </row>
    <row r="3" spans="1:10" ht="78.75" x14ac:dyDescent="0.25">
      <c r="A3" s="16" t="s">
        <v>1</v>
      </c>
      <c r="B3" s="16" t="s">
        <v>2</v>
      </c>
      <c r="C3" s="16" t="s">
        <v>251</v>
      </c>
      <c r="D3" s="16" t="s">
        <v>107</v>
      </c>
      <c r="E3" s="16" t="s">
        <v>7</v>
      </c>
      <c r="F3" s="16" t="s">
        <v>252</v>
      </c>
      <c r="G3" s="16" t="s">
        <v>253</v>
      </c>
      <c r="H3" s="6" t="s">
        <v>254</v>
      </c>
    </row>
    <row r="4" spans="1:10" ht="31.5" x14ac:dyDescent="0.25">
      <c r="A4" s="5" t="s">
        <v>255</v>
      </c>
      <c r="B4" s="3" t="s">
        <v>256</v>
      </c>
      <c r="C4" s="6" t="s">
        <v>257</v>
      </c>
      <c r="D4" s="6">
        <v>4905</v>
      </c>
      <c r="E4" s="6">
        <v>1955226513</v>
      </c>
      <c r="F4" s="6" t="s">
        <v>258</v>
      </c>
      <c r="G4" s="6" t="s">
        <v>259</v>
      </c>
      <c r="H4" s="1" t="s">
        <v>260</v>
      </c>
    </row>
    <row r="5" spans="1:10" ht="15.75" x14ac:dyDescent="0.25">
      <c r="A5" s="5" t="s">
        <v>261</v>
      </c>
      <c r="B5" s="3" t="s">
        <v>262</v>
      </c>
      <c r="C5" s="6" t="s">
        <v>257</v>
      </c>
      <c r="D5" s="1">
        <v>7092</v>
      </c>
      <c r="E5" s="17" t="s">
        <v>263</v>
      </c>
      <c r="F5" s="6" t="s">
        <v>258</v>
      </c>
      <c r="G5" s="6" t="s">
        <v>33</v>
      </c>
      <c r="H5" s="1" t="s">
        <v>264</v>
      </c>
    </row>
    <row r="6" spans="1:10" ht="15.75" x14ac:dyDescent="0.25">
      <c r="A6" s="5" t="s">
        <v>265</v>
      </c>
      <c r="B6" s="3" t="s">
        <v>266</v>
      </c>
      <c r="C6" s="6" t="s">
        <v>257</v>
      </c>
      <c r="D6" s="6">
        <v>3232</v>
      </c>
      <c r="E6" s="6">
        <v>1955217456</v>
      </c>
      <c r="F6" s="6" t="s">
        <v>267</v>
      </c>
      <c r="G6" s="6" t="s">
        <v>33</v>
      </c>
      <c r="H6" s="1" t="s">
        <v>260</v>
      </c>
    </row>
    <row r="7" spans="1:10" ht="31.5" x14ac:dyDescent="0.25">
      <c r="A7" s="5" t="s">
        <v>268</v>
      </c>
      <c r="B7" s="3" t="s">
        <v>269</v>
      </c>
      <c r="C7" s="6" t="s">
        <v>270</v>
      </c>
      <c r="D7" s="6">
        <v>3434</v>
      </c>
      <c r="E7" s="6">
        <v>1955226800</v>
      </c>
      <c r="F7" s="6" t="s">
        <v>267</v>
      </c>
      <c r="G7" s="6" t="s">
        <v>271</v>
      </c>
      <c r="H7" s="1" t="s">
        <v>260</v>
      </c>
    </row>
    <row r="8" spans="1:10" ht="15.75" x14ac:dyDescent="0.25">
      <c r="A8" s="5" t="s">
        <v>272</v>
      </c>
      <c r="B8" s="3" t="s">
        <v>273</v>
      </c>
      <c r="C8" s="6" t="s">
        <v>257</v>
      </c>
      <c r="D8" s="6">
        <v>5881</v>
      </c>
      <c r="E8" s="17" t="s">
        <v>274</v>
      </c>
      <c r="F8" s="6" t="s">
        <v>267</v>
      </c>
      <c r="G8" s="6" t="s">
        <v>33</v>
      </c>
      <c r="H8" s="1" t="s">
        <v>264</v>
      </c>
    </row>
    <row r="9" spans="1:10" ht="31.5" x14ac:dyDescent="0.25">
      <c r="A9" s="5" t="s">
        <v>275</v>
      </c>
      <c r="B9" s="3" t="s">
        <v>276</v>
      </c>
      <c r="C9" s="6" t="s">
        <v>257</v>
      </c>
      <c r="D9" s="6">
        <v>1640</v>
      </c>
      <c r="E9" s="6">
        <v>1955227320</v>
      </c>
      <c r="F9" s="6" t="s">
        <v>277</v>
      </c>
      <c r="G9" s="6" t="s">
        <v>33</v>
      </c>
      <c r="H9" s="1" t="s">
        <v>260</v>
      </c>
    </row>
    <row r="10" spans="1:10" ht="31.5" x14ac:dyDescent="0.25">
      <c r="A10" s="5" t="s">
        <v>278</v>
      </c>
      <c r="B10" s="3" t="s">
        <v>279</v>
      </c>
      <c r="C10" s="6" t="s">
        <v>270</v>
      </c>
      <c r="D10" s="6">
        <v>4431</v>
      </c>
      <c r="E10" s="6">
        <v>1955226875</v>
      </c>
      <c r="F10" s="6" t="s">
        <v>277</v>
      </c>
      <c r="G10" s="6" t="s">
        <v>50</v>
      </c>
      <c r="H10" s="1" t="s">
        <v>260</v>
      </c>
    </row>
    <row r="11" spans="1:10" ht="31.5" x14ac:dyDescent="0.25">
      <c r="A11" s="5" t="s">
        <v>280</v>
      </c>
      <c r="B11" s="3" t="s">
        <v>281</v>
      </c>
      <c r="C11" s="6" t="s">
        <v>257</v>
      </c>
      <c r="D11" s="6">
        <v>3107</v>
      </c>
      <c r="E11" s="6">
        <v>1955226963</v>
      </c>
      <c r="F11" s="6" t="s">
        <v>277</v>
      </c>
      <c r="G11" s="6" t="s">
        <v>33</v>
      </c>
      <c r="H11" s="1" t="s">
        <v>264</v>
      </c>
    </row>
    <row r="12" spans="1:10" ht="15.75" x14ac:dyDescent="0.25">
      <c r="A12" s="5" t="s">
        <v>282</v>
      </c>
      <c r="B12" s="3" t="s">
        <v>283</v>
      </c>
      <c r="C12" s="6" t="s">
        <v>257</v>
      </c>
      <c r="D12" s="6">
        <v>9219</v>
      </c>
      <c r="E12" s="6">
        <v>1955210181</v>
      </c>
      <c r="F12" s="6" t="s">
        <v>284</v>
      </c>
      <c r="G12" s="6" t="s">
        <v>33</v>
      </c>
      <c r="H12" s="1" t="s">
        <v>260</v>
      </c>
    </row>
    <row r="13" spans="1:10" ht="15.75" x14ac:dyDescent="0.25">
      <c r="A13" s="5" t="s">
        <v>285</v>
      </c>
      <c r="B13" s="3" t="s">
        <v>286</v>
      </c>
      <c r="C13" s="6" t="s">
        <v>257</v>
      </c>
      <c r="D13" s="6">
        <v>1668</v>
      </c>
      <c r="E13" s="6">
        <v>1955210537</v>
      </c>
      <c r="F13" s="6" t="s">
        <v>287</v>
      </c>
      <c r="G13" s="6" t="s">
        <v>33</v>
      </c>
      <c r="H13" s="1" t="s">
        <v>260</v>
      </c>
    </row>
    <row r="14" spans="1:10" ht="15.75" x14ac:dyDescent="0.25">
      <c r="A14" s="5" t="s">
        <v>288</v>
      </c>
      <c r="B14" s="12" t="s">
        <v>289</v>
      </c>
      <c r="C14" s="6" t="s">
        <v>270</v>
      </c>
      <c r="D14" s="6">
        <v>6339</v>
      </c>
      <c r="E14" s="6">
        <v>1955209817</v>
      </c>
      <c r="F14" s="6" t="s">
        <v>287</v>
      </c>
      <c r="G14" s="6" t="s">
        <v>37</v>
      </c>
      <c r="H14" s="1" t="s">
        <v>260</v>
      </c>
    </row>
    <row r="15" spans="1:10" ht="15.75" x14ac:dyDescent="0.25">
      <c r="A15" s="5" t="s">
        <v>290</v>
      </c>
      <c r="B15" s="3" t="s">
        <v>291</v>
      </c>
      <c r="C15" s="6" t="s">
        <v>257</v>
      </c>
      <c r="D15" s="6">
        <v>4189</v>
      </c>
      <c r="E15" s="17" t="s">
        <v>292</v>
      </c>
      <c r="F15" s="6" t="s">
        <v>287</v>
      </c>
      <c r="G15" s="6" t="s">
        <v>33</v>
      </c>
      <c r="H15" s="1" t="s">
        <v>264</v>
      </c>
      <c r="J15" s="41"/>
    </row>
    <row r="16" spans="1:10" ht="15.75" x14ac:dyDescent="0.25">
      <c r="A16" s="5" t="s">
        <v>293</v>
      </c>
      <c r="B16" s="3" t="s">
        <v>294</v>
      </c>
      <c r="C16" s="6" t="s">
        <v>257</v>
      </c>
      <c r="D16" s="6">
        <v>1378</v>
      </c>
      <c r="E16" s="17" t="s">
        <v>295</v>
      </c>
      <c r="F16" s="6" t="s">
        <v>296</v>
      </c>
      <c r="G16" s="6" t="s">
        <v>33</v>
      </c>
      <c r="H16" s="1" t="s">
        <v>260</v>
      </c>
    </row>
    <row r="17" spans="1:8" ht="47.25" x14ac:dyDescent="0.25">
      <c r="A17" s="5" t="s">
        <v>297</v>
      </c>
      <c r="B17" s="3" t="s">
        <v>298</v>
      </c>
      <c r="C17" s="6" t="s">
        <v>257</v>
      </c>
      <c r="D17" s="6">
        <v>7489</v>
      </c>
      <c r="E17" s="6">
        <v>1955226861</v>
      </c>
      <c r="F17" s="6" t="s">
        <v>296</v>
      </c>
      <c r="G17" s="6" t="s">
        <v>299</v>
      </c>
      <c r="H17" s="1" t="s">
        <v>260</v>
      </c>
    </row>
    <row r="18" spans="1:8" ht="15.75" x14ac:dyDescent="0.25">
      <c r="A18" s="5" t="s">
        <v>300</v>
      </c>
      <c r="B18" s="3" t="s">
        <v>301</v>
      </c>
      <c r="C18" s="6" t="s">
        <v>270</v>
      </c>
      <c r="D18" s="6">
        <v>4285</v>
      </c>
      <c r="E18" s="17" t="s">
        <v>302</v>
      </c>
      <c r="F18" s="6" t="s">
        <v>296</v>
      </c>
      <c r="G18" s="6" t="s">
        <v>33</v>
      </c>
      <c r="H18" s="1" t="s">
        <v>264</v>
      </c>
    </row>
    <row r="19" spans="1:8" ht="47.25" x14ac:dyDescent="0.25">
      <c r="A19" s="5" t="s">
        <v>303</v>
      </c>
      <c r="B19" s="12" t="s">
        <v>304</v>
      </c>
      <c r="C19" s="6" t="s">
        <v>257</v>
      </c>
      <c r="D19" s="6">
        <v>2258</v>
      </c>
      <c r="E19" s="6">
        <v>1955227389</v>
      </c>
      <c r="F19" s="6" t="s">
        <v>305</v>
      </c>
      <c r="G19" s="6" t="s">
        <v>306</v>
      </c>
      <c r="H19" s="1" t="s">
        <v>260</v>
      </c>
    </row>
    <row r="20" spans="1:8" ht="47.25" x14ac:dyDescent="0.25">
      <c r="A20" s="5" t="s">
        <v>307</v>
      </c>
      <c r="B20" s="12" t="s">
        <v>308</v>
      </c>
      <c r="C20" s="6" t="s">
        <v>257</v>
      </c>
      <c r="D20" s="6">
        <v>2285</v>
      </c>
      <c r="E20" s="6">
        <v>1955226831</v>
      </c>
      <c r="F20" s="6" t="s">
        <v>305</v>
      </c>
      <c r="G20" s="6" t="s">
        <v>309</v>
      </c>
      <c r="H20" s="1" t="s">
        <v>260</v>
      </c>
    </row>
    <row r="21" spans="1:8" ht="31.5" x14ac:dyDescent="0.25">
      <c r="A21" s="5" t="s">
        <v>310</v>
      </c>
      <c r="B21" s="18" t="s">
        <v>311</v>
      </c>
      <c r="C21" s="1" t="s">
        <v>257</v>
      </c>
      <c r="D21" s="1">
        <v>15283</v>
      </c>
      <c r="E21" s="1">
        <v>1955226667</v>
      </c>
      <c r="F21" s="6" t="s">
        <v>305</v>
      </c>
      <c r="G21" s="1" t="s">
        <v>33</v>
      </c>
      <c r="H21" s="1" t="s">
        <v>312</v>
      </c>
    </row>
    <row r="22" spans="1:8" ht="15.75" x14ac:dyDescent="0.25">
      <c r="A22" s="5" t="s">
        <v>313</v>
      </c>
      <c r="B22" s="19" t="s">
        <v>314</v>
      </c>
      <c r="C22" s="1" t="s">
        <v>257</v>
      </c>
      <c r="D22" s="20" t="s">
        <v>315</v>
      </c>
      <c r="E22" s="5" t="s">
        <v>316</v>
      </c>
      <c r="F22" s="1" t="s">
        <v>317</v>
      </c>
      <c r="G22" s="6" t="s">
        <v>33</v>
      </c>
      <c r="H22" s="1" t="s">
        <v>264</v>
      </c>
    </row>
    <row r="23" spans="1:8" x14ac:dyDescent="0.25">
      <c r="A23" s="42"/>
      <c r="B23" s="43"/>
      <c r="C23" s="43"/>
      <c r="D23" s="43"/>
      <c r="E23" s="43"/>
      <c r="F23" s="43"/>
      <c r="G23" s="43"/>
    </row>
    <row r="24" spans="1:8" x14ac:dyDescent="0.25">
      <c r="A24" s="42"/>
      <c r="B24" s="44"/>
      <c r="C24" s="44"/>
      <c r="D24" s="45"/>
      <c r="E24" s="45"/>
      <c r="F24" s="45"/>
      <c r="G24" s="45"/>
    </row>
    <row r="25" spans="1:8" ht="15.75" x14ac:dyDescent="0.25">
      <c r="A25" s="46"/>
      <c r="B25" s="46"/>
      <c r="C25" s="46"/>
      <c r="D25" s="46"/>
      <c r="E25" s="46"/>
      <c r="F25" s="46"/>
      <c r="G25" s="46"/>
    </row>
    <row r="26" spans="1:8" ht="15.75" x14ac:dyDescent="0.25">
      <c r="A26" s="46"/>
      <c r="B26" s="46"/>
      <c r="C26" s="46"/>
      <c r="D26" s="46"/>
      <c r="E26" s="46"/>
      <c r="F26" s="46"/>
      <c r="G26" s="46"/>
    </row>
  </sheetData>
  <mergeCells count="2">
    <mergeCell ref="A1:H1"/>
    <mergeCell ref="A2:H2"/>
  </mergeCells>
  <pageMargins left="0.33" right="0.17" top="0.72" bottom="0.66" header="0.3" footer="0.37"/>
  <pageSetup paperSize="9" scale="80" orientation="landscape" verticalDpi="0" r:id="rId1"/>
  <headerFooter>
    <oddFooter>Page &amp;P of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5"/>
  <sheetViews>
    <sheetView tabSelected="1" topLeftCell="A31" zoomScale="70" zoomScaleNormal="70" workbookViewId="0">
      <selection activeCell="O47" sqref="O47"/>
    </sheetView>
  </sheetViews>
  <sheetFormatPr defaultRowHeight="15" x14ac:dyDescent="0.25"/>
  <cols>
    <col min="1" max="1" width="7.5703125" customWidth="1"/>
    <col min="2" max="2" width="29.85546875" customWidth="1"/>
    <col min="3" max="3" width="13" customWidth="1"/>
    <col min="4" max="4" width="21.85546875" customWidth="1"/>
    <col min="5" max="5" width="6.42578125" customWidth="1"/>
    <col min="6" max="6" width="11.42578125" customWidth="1"/>
    <col min="7" max="7" width="11" customWidth="1"/>
    <col min="8" max="8" width="9" customWidth="1"/>
    <col min="9" max="9" width="7.28515625" customWidth="1"/>
    <col min="10" max="10" width="6.5703125" customWidth="1"/>
    <col min="11" max="11" width="10" customWidth="1"/>
    <col min="12" max="12" width="11.85546875" customWidth="1"/>
    <col min="13" max="13" width="8.7109375" customWidth="1"/>
    <col min="14" max="14" width="13.42578125" bestFit="1" customWidth="1"/>
    <col min="15" max="15" width="15.7109375" customWidth="1"/>
  </cols>
  <sheetData>
    <row r="1" spans="1:15" ht="18.75" x14ac:dyDescent="0.3">
      <c r="A1" s="130" t="s">
        <v>0</v>
      </c>
      <c r="B1" s="130"/>
      <c r="C1" s="130"/>
      <c r="D1" s="130"/>
      <c r="E1" s="130"/>
      <c r="F1" s="130"/>
      <c r="G1" s="130"/>
      <c r="H1" s="130"/>
      <c r="I1" s="130"/>
      <c r="J1" s="130"/>
      <c r="K1" s="130"/>
      <c r="L1" s="130"/>
      <c r="M1" s="130"/>
      <c r="N1" s="130"/>
      <c r="O1" s="130"/>
    </row>
    <row r="2" spans="1:15" ht="24" customHeight="1" x14ac:dyDescent="0.25">
      <c r="A2" s="131" t="s">
        <v>1715</v>
      </c>
      <c r="B2" s="131"/>
      <c r="C2" s="131"/>
      <c r="D2" s="131"/>
      <c r="E2" s="131"/>
      <c r="F2" s="131"/>
      <c r="G2" s="131"/>
      <c r="H2" s="131"/>
      <c r="I2" s="131"/>
      <c r="J2" s="131"/>
      <c r="K2" s="131"/>
      <c r="L2" s="131"/>
      <c r="M2" s="131"/>
      <c r="N2" s="131"/>
      <c r="O2" s="131"/>
    </row>
    <row r="3" spans="1:15" ht="180.75" customHeight="1" x14ac:dyDescent="0.25">
      <c r="A3" s="1" t="s">
        <v>1</v>
      </c>
      <c r="B3" s="1" t="s">
        <v>2</v>
      </c>
      <c r="C3" s="1" t="s">
        <v>7</v>
      </c>
      <c r="D3" s="1" t="s">
        <v>319</v>
      </c>
      <c r="E3" s="21" t="s">
        <v>4</v>
      </c>
      <c r="F3" s="21" t="s">
        <v>1716</v>
      </c>
      <c r="G3" s="21" t="s">
        <v>3</v>
      </c>
      <c r="H3" s="21" t="s">
        <v>107</v>
      </c>
      <c r="I3" s="21" t="s">
        <v>135</v>
      </c>
      <c r="J3" s="21" t="s">
        <v>748</v>
      </c>
      <c r="K3" s="21" t="s">
        <v>8</v>
      </c>
      <c r="L3" s="21" t="s">
        <v>1717</v>
      </c>
      <c r="M3" s="21" t="s">
        <v>1718</v>
      </c>
      <c r="N3" s="4" t="s">
        <v>322</v>
      </c>
      <c r="O3" s="22" t="s">
        <v>1719</v>
      </c>
    </row>
    <row r="4" spans="1:15" ht="15.75" x14ac:dyDescent="0.25">
      <c r="A4" s="2">
        <v>1</v>
      </c>
      <c r="B4" s="2">
        <v>2</v>
      </c>
      <c r="C4" s="2">
        <v>3</v>
      </c>
      <c r="D4" s="2">
        <v>4</v>
      </c>
      <c r="E4" s="2">
        <v>5</v>
      </c>
      <c r="F4" s="2">
        <v>6</v>
      </c>
      <c r="G4" s="2">
        <v>7</v>
      </c>
      <c r="H4" s="2">
        <v>8</v>
      </c>
      <c r="I4" s="2">
        <v>9</v>
      </c>
      <c r="J4" s="2">
        <v>10</v>
      </c>
      <c r="K4" s="2">
        <v>11</v>
      </c>
      <c r="L4" s="2">
        <v>12</v>
      </c>
      <c r="M4" s="2">
        <v>13</v>
      </c>
      <c r="N4" s="7">
        <v>14</v>
      </c>
      <c r="O4" s="47">
        <v>15</v>
      </c>
    </row>
    <row r="5" spans="1:15" ht="105" x14ac:dyDescent="0.25">
      <c r="A5" s="31" t="s">
        <v>1720</v>
      </c>
      <c r="B5" s="10" t="s">
        <v>1721</v>
      </c>
      <c r="C5" s="28">
        <v>1855205310</v>
      </c>
      <c r="D5" s="24" t="s">
        <v>1722</v>
      </c>
      <c r="E5" s="28" t="s">
        <v>39</v>
      </c>
      <c r="F5" s="48">
        <f>(426+579+396+1144)/3600*100</f>
        <v>70.694444444444443</v>
      </c>
      <c r="G5" s="28" t="s">
        <v>1723</v>
      </c>
      <c r="H5" s="28">
        <v>978</v>
      </c>
      <c r="I5" s="28">
        <v>560</v>
      </c>
      <c r="J5" s="28">
        <f>560/960*100</f>
        <v>58.333333333333336</v>
      </c>
      <c r="K5" s="28" t="s">
        <v>1724</v>
      </c>
      <c r="L5" s="28" t="s">
        <v>287</v>
      </c>
      <c r="M5" s="28" t="s">
        <v>328</v>
      </c>
      <c r="N5" s="31" t="s">
        <v>1725</v>
      </c>
      <c r="O5" s="28" t="s">
        <v>1726</v>
      </c>
    </row>
    <row r="6" spans="1:15" ht="135" x14ac:dyDescent="0.25">
      <c r="A6" s="31" t="s">
        <v>1727</v>
      </c>
      <c r="B6" s="10" t="s">
        <v>1728</v>
      </c>
      <c r="C6" s="28">
        <v>1855207516</v>
      </c>
      <c r="D6" s="24" t="s">
        <v>1310</v>
      </c>
      <c r="E6" s="9" t="s">
        <v>33</v>
      </c>
      <c r="F6" s="49">
        <f>(435+620+422+1091)/3600*100</f>
        <v>71.333333333333343</v>
      </c>
      <c r="G6" s="28" t="s">
        <v>1729</v>
      </c>
      <c r="H6" s="28">
        <v>2230</v>
      </c>
      <c r="I6" s="28">
        <v>497</v>
      </c>
      <c r="J6" s="9">
        <f>497/960*100</f>
        <v>51.770833333333336</v>
      </c>
      <c r="K6" s="9" t="s">
        <v>1730</v>
      </c>
      <c r="L6" s="28" t="s">
        <v>296</v>
      </c>
      <c r="M6" s="28" t="s">
        <v>328</v>
      </c>
      <c r="N6" s="31" t="s">
        <v>1731</v>
      </c>
      <c r="O6" s="28" t="s">
        <v>1732</v>
      </c>
    </row>
    <row r="7" spans="1:15" ht="90" x14ac:dyDescent="0.25">
      <c r="A7" s="31" t="s">
        <v>1733</v>
      </c>
      <c r="B7" s="10" t="s">
        <v>1734</v>
      </c>
      <c r="C7" s="28">
        <v>1855205221</v>
      </c>
      <c r="D7" s="24" t="s">
        <v>668</v>
      </c>
      <c r="E7" s="9" t="s">
        <v>33</v>
      </c>
      <c r="F7" s="48">
        <f>(407+580+385+1123)/3600*100</f>
        <v>69.305555555555557</v>
      </c>
      <c r="G7" s="28" t="s">
        <v>1735</v>
      </c>
      <c r="H7" s="28">
        <v>2518</v>
      </c>
      <c r="I7" s="28">
        <v>485</v>
      </c>
      <c r="J7" s="28">
        <f>485/960*100</f>
        <v>50.520833333333336</v>
      </c>
      <c r="K7" s="9" t="s">
        <v>1736</v>
      </c>
      <c r="L7" s="28" t="s">
        <v>267</v>
      </c>
      <c r="M7" s="28" t="s">
        <v>328</v>
      </c>
      <c r="N7" s="31" t="s">
        <v>1737</v>
      </c>
      <c r="O7" s="28" t="s">
        <v>1738</v>
      </c>
    </row>
    <row r="8" spans="1:15" ht="120" x14ac:dyDescent="0.25">
      <c r="A8" s="31" t="s">
        <v>1739</v>
      </c>
      <c r="B8" s="10" t="s">
        <v>1740</v>
      </c>
      <c r="C8" s="28">
        <v>1855205168</v>
      </c>
      <c r="D8" s="24" t="s">
        <v>1741</v>
      </c>
      <c r="E8" s="9" t="s">
        <v>33</v>
      </c>
      <c r="F8" s="49">
        <f>(370+140+150+81+68+142+402+1137)/3600*100</f>
        <v>69.166666666666671</v>
      </c>
      <c r="G8" s="28" t="s">
        <v>1742</v>
      </c>
      <c r="H8" s="28">
        <v>3634</v>
      </c>
      <c r="I8" s="28">
        <v>440</v>
      </c>
      <c r="J8" s="9">
        <f>440/960*100</f>
        <v>45.833333333333329</v>
      </c>
      <c r="K8" s="9" t="s">
        <v>1736</v>
      </c>
      <c r="L8" s="28" t="s">
        <v>305</v>
      </c>
      <c r="M8" s="28" t="s">
        <v>328</v>
      </c>
      <c r="N8" s="31">
        <v>9494688929</v>
      </c>
      <c r="O8" s="28" t="s">
        <v>1743</v>
      </c>
    </row>
    <row r="9" spans="1:15" ht="75" x14ac:dyDescent="0.25">
      <c r="A9" s="31" t="s">
        <v>1744</v>
      </c>
      <c r="B9" s="10" t="s">
        <v>1745</v>
      </c>
      <c r="C9" s="28">
        <v>1855205290</v>
      </c>
      <c r="D9" s="24" t="s">
        <v>1746</v>
      </c>
      <c r="E9" s="28" t="s">
        <v>33</v>
      </c>
      <c r="F9" s="48">
        <f>(382+146+138+132+56+53+359+994)/3600*100</f>
        <v>62.777777777777779</v>
      </c>
      <c r="G9" s="28" t="s">
        <v>1747</v>
      </c>
      <c r="H9" s="28">
        <v>4755</v>
      </c>
      <c r="I9" s="28">
        <v>407</v>
      </c>
      <c r="J9" s="28">
        <f>407/960*100</f>
        <v>42.395833333333336</v>
      </c>
      <c r="K9" s="28" t="s">
        <v>1748</v>
      </c>
      <c r="L9" s="28" t="s">
        <v>287</v>
      </c>
      <c r="M9" s="28" t="s">
        <v>328</v>
      </c>
      <c r="N9" s="31" t="s">
        <v>1749</v>
      </c>
      <c r="O9" s="28" t="s">
        <v>1750</v>
      </c>
    </row>
    <row r="10" spans="1:15" ht="105" x14ac:dyDescent="0.25">
      <c r="A10" s="31" t="s">
        <v>1751</v>
      </c>
      <c r="B10" s="10" t="s">
        <v>1752</v>
      </c>
      <c r="C10" s="28">
        <v>1855205281</v>
      </c>
      <c r="D10" s="24" t="s">
        <v>518</v>
      </c>
      <c r="E10" s="9" t="s">
        <v>33</v>
      </c>
      <c r="F10" s="49">
        <f>(455+538+416+1182)/3600*100</f>
        <v>71.972222222222229</v>
      </c>
      <c r="G10" s="28" t="s">
        <v>1753</v>
      </c>
      <c r="H10" s="28">
        <v>4777</v>
      </c>
      <c r="I10" s="28">
        <v>406</v>
      </c>
      <c r="J10" s="9">
        <f>406/960*100</f>
        <v>42.291666666666664</v>
      </c>
      <c r="K10" s="9" t="s">
        <v>1736</v>
      </c>
      <c r="L10" s="28" t="s">
        <v>296</v>
      </c>
      <c r="M10" s="28" t="s">
        <v>328</v>
      </c>
      <c r="N10" s="31" t="s">
        <v>1754</v>
      </c>
      <c r="O10" s="28" t="s">
        <v>1755</v>
      </c>
    </row>
    <row r="11" spans="1:15" ht="105" x14ac:dyDescent="0.25">
      <c r="A11" s="31" t="s">
        <v>1756</v>
      </c>
      <c r="B11" s="32" t="s">
        <v>1757</v>
      </c>
      <c r="C11" s="31">
        <v>1855205240</v>
      </c>
      <c r="D11" s="39" t="s">
        <v>1758</v>
      </c>
      <c r="E11" s="28" t="s">
        <v>61</v>
      </c>
      <c r="F11" s="50">
        <v>65.5</v>
      </c>
      <c r="G11" s="51" t="s">
        <v>1759</v>
      </c>
      <c r="H11" s="51" t="s">
        <v>1760</v>
      </c>
      <c r="I11" s="31">
        <v>375</v>
      </c>
      <c r="J11" s="9">
        <f>375/960*100</f>
        <v>39.0625</v>
      </c>
      <c r="K11" s="28" t="s">
        <v>1761</v>
      </c>
      <c r="L11" s="31" t="s">
        <v>317</v>
      </c>
      <c r="M11" s="28" t="s">
        <v>328</v>
      </c>
      <c r="N11" s="31">
        <v>9966157300</v>
      </c>
      <c r="O11" s="52" t="s">
        <v>1762</v>
      </c>
    </row>
    <row r="12" spans="1:15" ht="120" x14ac:dyDescent="0.25">
      <c r="A12" s="31" t="s">
        <v>1763</v>
      </c>
      <c r="B12" s="10" t="s">
        <v>1764</v>
      </c>
      <c r="C12" s="28">
        <v>1855207481</v>
      </c>
      <c r="D12" s="24" t="s">
        <v>1765</v>
      </c>
      <c r="E12" s="28" t="s">
        <v>43</v>
      </c>
      <c r="F12" s="48">
        <f>(357+455+375+1077)/3600*100</f>
        <v>62.888888888888893</v>
      </c>
      <c r="G12" s="28" t="s">
        <v>1766</v>
      </c>
      <c r="H12" s="28">
        <v>6102</v>
      </c>
      <c r="I12" s="28">
        <v>367</v>
      </c>
      <c r="J12" s="28">
        <f>367/960*100</f>
        <v>38.229166666666664</v>
      </c>
      <c r="K12" s="28" t="s">
        <v>1767</v>
      </c>
      <c r="L12" s="28" t="s">
        <v>277</v>
      </c>
      <c r="M12" s="28" t="s">
        <v>328</v>
      </c>
      <c r="N12" s="31" t="s">
        <v>1768</v>
      </c>
      <c r="O12" s="28" t="s">
        <v>1769</v>
      </c>
    </row>
    <row r="13" spans="1:15" ht="60" x14ac:dyDescent="0.25">
      <c r="A13" s="31" t="s">
        <v>1770</v>
      </c>
      <c r="B13" s="10" t="s">
        <v>1771</v>
      </c>
      <c r="C13" s="28">
        <v>1855218661</v>
      </c>
      <c r="D13" s="24" t="s">
        <v>1772</v>
      </c>
      <c r="E13" s="28" t="s">
        <v>33</v>
      </c>
      <c r="F13" s="48">
        <f>(132+139+143+133+123+131+64+76+125+120+121+150+132+142+127+151+142+141+137)/3600*100</f>
        <v>67.472222222222229</v>
      </c>
      <c r="G13" s="28" t="s">
        <v>1773</v>
      </c>
      <c r="H13" s="28">
        <v>6568</v>
      </c>
      <c r="I13" s="28">
        <v>355</v>
      </c>
      <c r="J13" s="28">
        <f>355/960*100</f>
        <v>36.979166666666671</v>
      </c>
      <c r="K13" s="53" t="s">
        <v>1761</v>
      </c>
      <c r="L13" s="31" t="s">
        <v>317</v>
      </c>
      <c r="M13" s="28" t="s">
        <v>328</v>
      </c>
      <c r="N13" s="31" t="s">
        <v>1774</v>
      </c>
      <c r="O13" s="52" t="s">
        <v>1775</v>
      </c>
    </row>
    <row r="14" spans="1:15" ht="105" x14ac:dyDescent="0.25">
      <c r="A14" s="31" t="s">
        <v>1776</v>
      </c>
      <c r="B14" s="10" t="s">
        <v>1777</v>
      </c>
      <c r="C14" s="28">
        <v>1855223509</v>
      </c>
      <c r="D14" s="24" t="s">
        <v>1778</v>
      </c>
      <c r="E14" s="9" t="s">
        <v>682</v>
      </c>
      <c r="F14" s="49">
        <f>(130+116+111+120+100+125+58+55+111+134+123+119+100+118+131+139+116+109+107)/3600*100</f>
        <v>58.944444444444443</v>
      </c>
      <c r="G14" s="28" t="s">
        <v>1779</v>
      </c>
      <c r="H14" s="28">
        <v>6743</v>
      </c>
      <c r="I14" s="28">
        <v>351</v>
      </c>
      <c r="J14" s="9">
        <f>351/960*100</f>
        <v>36.5625</v>
      </c>
      <c r="K14" s="9" t="s">
        <v>1780</v>
      </c>
      <c r="L14" s="28" t="s">
        <v>277</v>
      </c>
      <c r="M14" s="28" t="s">
        <v>328</v>
      </c>
      <c r="N14" s="31" t="s">
        <v>1781</v>
      </c>
      <c r="O14" s="54" t="s">
        <v>1782</v>
      </c>
    </row>
    <row r="15" spans="1:15" ht="30" x14ac:dyDescent="0.25">
      <c r="A15" s="31" t="s">
        <v>1783</v>
      </c>
      <c r="B15" s="10" t="s">
        <v>1784</v>
      </c>
      <c r="C15" s="28">
        <v>1855208101</v>
      </c>
      <c r="D15" s="24" t="s">
        <v>1785</v>
      </c>
      <c r="E15" s="9" t="s">
        <v>33</v>
      </c>
      <c r="F15" s="48"/>
      <c r="G15" s="28" t="s">
        <v>1786</v>
      </c>
      <c r="H15" s="28">
        <v>7262</v>
      </c>
      <c r="I15" s="28">
        <v>339</v>
      </c>
      <c r="J15" s="28">
        <v>35.31</v>
      </c>
      <c r="K15" s="9" t="s">
        <v>1787</v>
      </c>
      <c r="L15" s="28" t="s">
        <v>296</v>
      </c>
      <c r="M15" s="28" t="s">
        <v>328</v>
      </c>
      <c r="N15" s="31" t="s">
        <v>1788</v>
      </c>
      <c r="O15" s="14" t="s">
        <v>1789</v>
      </c>
    </row>
    <row r="16" spans="1:15" ht="150" x14ac:dyDescent="0.25">
      <c r="A16" s="31" t="s">
        <v>1790</v>
      </c>
      <c r="B16" s="10" t="s">
        <v>1791</v>
      </c>
      <c r="C16" s="28">
        <v>1855221096</v>
      </c>
      <c r="D16" s="24" t="s">
        <v>1792</v>
      </c>
      <c r="E16" s="9" t="s">
        <v>37</v>
      </c>
      <c r="F16" s="49">
        <f>(83+87+80+76+86+79+77+93+89+87+63+78+69+66+75+68+59)/2550*100</f>
        <v>51.568627450980401</v>
      </c>
      <c r="G16" s="28" t="s">
        <v>1793</v>
      </c>
      <c r="H16" s="28">
        <v>7440</v>
      </c>
      <c r="I16" s="28">
        <v>334</v>
      </c>
      <c r="J16" s="9">
        <f>334/960*100</f>
        <v>34.791666666666664</v>
      </c>
      <c r="K16" s="28" t="s">
        <v>1794</v>
      </c>
      <c r="L16" s="28" t="s">
        <v>305</v>
      </c>
      <c r="M16" s="28" t="s">
        <v>328</v>
      </c>
      <c r="N16" s="31" t="s">
        <v>1795</v>
      </c>
      <c r="O16" s="28" t="s">
        <v>1796</v>
      </c>
    </row>
    <row r="17" spans="1:15" ht="135" x14ac:dyDescent="0.25">
      <c r="A17" s="31" t="s">
        <v>1797</v>
      </c>
      <c r="B17" s="10" t="s">
        <v>1798</v>
      </c>
      <c r="C17" s="28">
        <v>1855207436</v>
      </c>
      <c r="D17" s="24" t="s">
        <v>1799</v>
      </c>
      <c r="E17" s="28" t="s">
        <v>33</v>
      </c>
      <c r="F17" s="48">
        <f>(423+524+388+1034)/3600*100</f>
        <v>65.805555555555557</v>
      </c>
      <c r="G17" s="28" t="s">
        <v>1800</v>
      </c>
      <c r="H17" s="28">
        <v>8638</v>
      </c>
      <c r="I17" s="28">
        <v>308</v>
      </c>
      <c r="J17" s="28">
        <f>308/960*100</f>
        <v>32.083333333333336</v>
      </c>
      <c r="K17" s="28" t="s">
        <v>1748</v>
      </c>
      <c r="L17" s="28" t="s">
        <v>267</v>
      </c>
      <c r="M17" s="28" t="s">
        <v>328</v>
      </c>
      <c r="N17" s="31" t="s">
        <v>1801</v>
      </c>
      <c r="O17" s="28" t="s">
        <v>1802</v>
      </c>
    </row>
    <row r="18" spans="1:15" ht="105" x14ac:dyDescent="0.25">
      <c r="A18" s="31" t="s">
        <v>1803</v>
      </c>
      <c r="B18" s="10" t="s">
        <v>1804</v>
      </c>
      <c r="C18" s="28">
        <v>1855221145</v>
      </c>
      <c r="D18" s="24" t="s">
        <v>1805</v>
      </c>
      <c r="E18" s="28" t="s">
        <v>33</v>
      </c>
      <c r="F18" s="48">
        <v>68.63</v>
      </c>
      <c r="G18" s="28" t="s">
        <v>1806</v>
      </c>
      <c r="H18" s="28">
        <v>8960</v>
      </c>
      <c r="I18" s="28">
        <v>301</v>
      </c>
      <c r="J18" s="28">
        <f>301/960*100</f>
        <v>31.354166666666668</v>
      </c>
      <c r="K18" s="28" t="s">
        <v>1807</v>
      </c>
      <c r="L18" s="28" t="s">
        <v>267</v>
      </c>
      <c r="M18" s="28" t="s">
        <v>328</v>
      </c>
      <c r="N18" s="31" t="s">
        <v>1808</v>
      </c>
      <c r="O18" s="28" t="s">
        <v>1809</v>
      </c>
    </row>
    <row r="19" spans="1:15" ht="75" x14ac:dyDescent="0.25">
      <c r="A19" s="31" t="s">
        <v>1810</v>
      </c>
      <c r="B19" s="10" t="s">
        <v>1811</v>
      </c>
      <c r="C19" s="28">
        <v>1855207953</v>
      </c>
      <c r="D19" s="24" t="s">
        <v>1812</v>
      </c>
      <c r="E19" s="9" t="s">
        <v>50</v>
      </c>
      <c r="F19" s="55"/>
      <c r="G19" s="28" t="s">
        <v>1813</v>
      </c>
      <c r="H19" s="28">
        <v>9605</v>
      </c>
      <c r="I19" s="28">
        <v>289</v>
      </c>
      <c r="J19" s="9">
        <v>30.1</v>
      </c>
      <c r="K19" s="28" t="s">
        <v>1814</v>
      </c>
      <c r="L19" s="28" t="s">
        <v>258</v>
      </c>
      <c r="M19" s="28" t="s">
        <v>328</v>
      </c>
      <c r="N19" s="31" t="s">
        <v>1815</v>
      </c>
      <c r="O19" s="28" t="s">
        <v>1816</v>
      </c>
    </row>
    <row r="20" spans="1:15" ht="90" x14ac:dyDescent="0.25">
      <c r="A20" s="31" t="s">
        <v>1817</v>
      </c>
      <c r="B20" s="10" t="s">
        <v>1818</v>
      </c>
      <c r="C20" s="28">
        <v>1855221190</v>
      </c>
      <c r="D20" s="24" t="s">
        <v>575</v>
      </c>
      <c r="E20" s="28" t="s">
        <v>39</v>
      </c>
      <c r="F20" s="48"/>
      <c r="G20" s="28" t="s">
        <v>1819</v>
      </c>
      <c r="H20" s="28">
        <v>10374</v>
      </c>
      <c r="I20" s="28">
        <v>275</v>
      </c>
      <c r="J20" s="28">
        <v>28.64</v>
      </c>
      <c r="K20" s="9" t="s">
        <v>1787</v>
      </c>
      <c r="L20" s="28" t="s">
        <v>287</v>
      </c>
      <c r="M20" s="28" t="s">
        <v>328</v>
      </c>
      <c r="N20" s="31" t="s">
        <v>1820</v>
      </c>
      <c r="O20" s="56" t="s">
        <v>1821</v>
      </c>
    </row>
    <row r="21" spans="1:15" ht="105" x14ac:dyDescent="0.25">
      <c r="A21" s="31" t="s">
        <v>1822</v>
      </c>
      <c r="B21" s="10" t="s">
        <v>1823</v>
      </c>
      <c r="C21" s="28">
        <v>1855221336</v>
      </c>
      <c r="D21" s="24" t="s">
        <v>1824</v>
      </c>
      <c r="E21" s="9" t="s">
        <v>33</v>
      </c>
      <c r="F21" s="49">
        <f>(389+122+134+116+57+63+398+992)/3600*100</f>
        <v>63.083333333333336</v>
      </c>
      <c r="G21" s="28" t="s">
        <v>1825</v>
      </c>
      <c r="H21" s="28">
        <v>12188</v>
      </c>
      <c r="I21" s="28">
        <v>245</v>
      </c>
      <c r="J21" s="9">
        <f>245/960*100</f>
        <v>25.520833333333332</v>
      </c>
      <c r="K21" s="28" t="s">
        <v>1736</v>
      </c>
      <c r="L21" s="28" t="s">
        <v>277</v>
      </c>
      <c r="M21" s="28" t="s">
        <v>328</v>
      </c>
      <c r="N21" s="31" t="s">
        <v>1826</v>
      </c>
      <c r="O21" s="28" t="s">
        <v>1827</v>
      </c>
    </row>
    <row r="22" spans="1:15" ht="90" x14ac:dyDescent="0.25">
      <c r="A22" s="31" t="s">
        <v>1828</v>
      </c>
      <c r="B22" s="10" t="s">
        <v>1829</v>
      </c>
      <c r="C22" s="28">
        <v>1855221134</v>
      </c>
      <c r="D22" s="24" t="s">
        <v>1830</v>
      </c>
      <c r="E22" s="28" t="s">
        <v>37</v>
      </c>
      <c r="F22" s="48">
        <f>(304+367+396+655)/3600*100</f>
        <v>47.833333333333336</v>
      </c>
      <c r="G22" s="28" t="s">
        <v>1831</v>
      </c>
      <c r="H22" s="28">
        <v>13050</v>
      </c>
      <c r="I22" s="28">
        <v>232</v>
      </c>
      <c r="J22" s="28">
        <f>232/960*100</f>
        <v>24.166666666666668</v>
      </c>
      <c r="K22" s="9" t="s">
        <v>1832</v>
      </c>
      <c r="L22" s="28" t="s">
        <v>284</v>
      </c>
      <c r="M22" s="28" t="s">
        <v>328</v>
      </c>
      <c r="N22" s="31" t="s">
        <v>1833</v>
      </c>
      <c r="O22" s="28" t="s">
        <v>1834</v>
      </c>
    </row>
    <row r="23" spans="1:15" ht="135" x14ac:dyDescent="0.25">
      <c r="A23" s="31" t="s">
        <v>1835</v>
      </c>
      <c r="B23" s="10" t="s">
        <v>1836</v>
      </c>
      <c r="C23" s="28">
        <v>1855207640</v>
      </c>
      <c r="D23" s="24" t="s">
        <v>1837</v>
      </c>
      <c r="E23" s="28" t="s">
        <v>37</v>
      </c>
      <c r="F23" s="48">
        <f>(125+133+124+530+126+113+121+949)/3600*100</f>
        <v>61.694444444444443</v>
      </c>
      <c r="G23" s="28" t="s">
        <v>1838</v>
      </c>
      <c r="H23" s="28">
        <v>15663</v>
      </c>
      <c r="I23" s="28">
        <v>197</v>
      </c>
      <c r="J23" s="28">
        <f>197/960*100</f>
        <v>20.520833333333332</v>
      </c>
      <c r="K23" s="28" t="s">
        <v>1736</v>
      </c>
      <c r="L23" s="28" t="s">
        <v>305</v>
      </c>
      <c r="M23" s="28" t="s">
        <v>328</v>
      </c>
      <c r="N23" s="31">
        <v>8790276668</v>
      </c>
      <c r="O23" s="28" t="s">
        <v>1839</v>
      </c>
    </row>
    <row r="24" spans="1:15" ht="150" x14ac:dyDescent="0.25">
      <c r="A24" s="31" t="s">
        <v>1840</v>
      </c>
      <c r="B24" s="10" t="s">
        <v>1841</v>
      </c>
      <c r="C24" s="28">
        <v>1855221024</v>
      </c>
      <c r="D24" s="24" t="s">
        <v>1842</v>
      </c>
      <c r="E24" s="9" t="s">
        <v>33</v>
      </c>
      <c r="F24" s="55">
        <v>65</v>
      </c>
      <c r="G24" s="28" t="s">
        <v>1843</v>
      </c>
      <c r="H24" s="29">
        <v>16291</v>
      </c>
      <c r="I24" s="57">
        <v>189</v>
      </c>
      <c r="J24" s="28">
        <f>189/960*100</f>
        <v>19.6875</v>
      </c>
      <c r="K24" s="28" t="s">
        <v>1761</v>
      </c>
      <c r="L24" s="28" t="s">
        <v>258</v>
      </c>
      <c r="M24" s="28" t="s">
        <v>328</v>
      </c>
      <c r="N24" s="31">
        <v>9490719620</v>
      </c>
      <c r="O24" s="23" t="s">
        <v>1844</v>
      </c>
    </row>
    <row r="25" spans="1:15" ht="195" x14ac:dyDescent="0.25">
      <c r="A25" s="31" t="s">
        <v>1845</v>
      </c>
      <c r="B25" s="10" t="s">
        <v>1846</v>
      </c>
      <c r="C25" s="28">
        <v>1855204873</v>
      </c>
      <c r="D25" s="24" t="s">
        <v>1847</v>
      </c>
      <c r="E25" s="28" t="s">
        <v>43</v>
      </c>
      <c r="F25" s="48">
        <f>(144+134+145+507+350+1039)/3600*100</f>
        <v>64.416666666666671</v>
      </c>
      <c r="G25" s="28" t="s">
        <v>1848</v>
      </c>
      <c r="H25" s="28">
        <v>18215</v>
      </c>
      <c r="I25" s="28">
        <v>165</v>
      </c>
      <c r="J25" s="28">
        <f>165/960*100</f>
        <v>17.1875</v>
      </c>
      <c r="K25" s="28" t="s">
        <v>1736</v>
      </c>
      <c r="L25" s="28" t="s">
        <v>284</v>
      </c>
      <c r="M25" s="28" t="s">
        <v>328</v>
      </c>
      <c r="N25" s="31" t="s">
        <v>1849</v>
      </c>
      <c r="O25" s="28" t="s">
        <v>1850</v>
      </c>
    </row>
    <row r="26" spans="1:15" ht="15.75" x14ac:dyDescent="0.25">
      <c r="A26" s="27"/>
      <c r="B26" s="27"/>
      <c r="C26" s="27"/>
      <c r="D26" s="27"/>
      <c r="E26" s="27"/>
      <c r="F26" s="27"/>
      <c r="G26" s="27"/>
      <c r="H26" s="27"/>
      <c r="I26" s="27"/>
      <c r="J26" s="27"/>
      <c r="K26" s="27"/>
      <c r="L26" s="27"/>
      <c r="M26" s="27"/>
    </row>
    <row r="27" spans="1:15" ht="15.75" x14ac:dyDescent="0.25">
      <c r="A27" s="27"/>
      <c r="B27" s="27"/>
      <c r="C27" s="27"/>
      <c r="D27" s="27"/>
      <c r="E27" s="27" t="s">
        <v>1851</v>
      </c>
      <c r="F27" s="27" t="s">
        <v>1852</v>
      </c>
      <c r="G27" s="27" t="s">
        <v>1853</v>
      </c>
      <c r="H27" s="27"/>
      <c r="I27" s="27"/>
      <c r="J27" s="27"/>
      <c r="K27" s="27"/>
      <c r="L27" s="27"/>
      <c r="M27" s="27"/>
    </row>
    <row r="28" spans="1:15" ht="15.75" x14ac:dyDescent="0.25">
      <c r="A28" s="26">
        <v>1</v>
      </c>
      <c r="B28" s="125" t="s">
        <v>1854</v>
      </c>
      <c r="C28" s="125"/>
      <c r="D28" s="125"/>
      <c r="E28" s="125"/>
      <c r="F28" s="125"/>
      <c r="G28" s="125"/>
      <c r="H28" s="125"/>
      <c r="I28" s="125"/>
      <c r="J28" s="125"/>
      <c r="K28" s="125"/>
      <c r="L28" s="125"/>
      <c r="M28" s="125"/>
    </row>
    <row r="29" spans="1:15" ht="15.75" x14ac:dyDescent="0.25">
      <c r="A29" s="26">
        <v>2</v>
      </c>
      <c r="B29" s="125" t="s">
        <v>734</v>
      </c>
      <c r="C29" s="125"/>
      <c r="D29" s="125"/>
      <c r="E29" s="125"/>
      <c r="F29" s="125"/>
      <c r="G29" s="125"/>
      <c r="H29" s="125"/>
      <c r="I29" s="125"/>
      <c r="J29" s="125"/>
      <c r="K29" s="125"/>
      <c r="L29" s="125"/>
      <c r="M29" s="125"/>
    </row>
    <row r="30" spans="1:15" ht="15.75" x14ac:dyDescent="0.25">
      <c r="A30" s="26">
        <v>3</v>
      </c>
      <c r="B30" s="125" t="s">
        <v>735</v>
      </c>
      <c r="C30" s="125"/>
      <c r="D30" s="125"/>
      <c r="E30" s="125"/>
      <c r="F30" s="125"/>
      <c r="G30" s="125"/>
      <c r="H30" s="125"/>
      <c r="I30" s="125"/>
      <c r="J30" s="125"/>
      <c r="K30" s="125"/>
      <c r="L30" s="125"/>
      <c r="M30" s="125"/>
    </row>
    <row r="31" spans="1:15" ht="15.75" x14ac:dyDescent="0.25">
      <c r="A31" s="26">
        <v>4</v>
      </c>
      <c r="B31" s="125" t="s">
        <v>736</v>
      </c>
      <c r="C31" s="125"/>
      <c r="D31" s="125"/>
      <c r="E31" s="125"/>
      <c r="F31" s="125"/>
      <c r="G31" s="125"/>
      <c r="H31" s="125"/>
      <c r="I31" s="125"/>
      <c r="J31" s="125"/>
      <c r="K31" s="125"/>
      <c r="L31" s="125"/>
      <c r="M31" s="125"/>
    </row>
    <row r="32" spans="1:15" ht="15.75" x14ac:dyDescent="0.25">
      <c r="A32" s="26">
        <v>5</v>
      </c>
      <c r="B32" s="125" t="s">
        <v>1129</v>
      </c>
      <c r="C32" s="125"/>
      <c r="D32" s="125"/>
      <c r="E32" s="125"/>
      <c r="F32" s="125"/>
      <c r="G32" s="125"/>
      <c r="H32" s="125"/>
      <c r="I32" s="125"/>
      <c r="J32" s="125"/>
      <c r="K32" s="125"/>
      <c r="L32" s="125"/>
      <c r="M32" s="125"/>
    </row>
    <row r="33" spans="1:13" ht="15.75" x14ac:dyDescent="0.25">
      <c r="A33" s="26">
        <v>6</v>
      </c>
      <c r="B33" s="125" t="s">
        <v>1130</v>
      </c>
      <c r="C33" s="125"/>
      <c r="D33" s="125"/>
      <c r="E33" s="125"/>
      <c r="F33" s="125"/>
      <c r="G33" s="125"/>
      <c r="H33" s="125"/>
      <c r="I33" s="125"/>
      <c r="J33" s="125"/>
      <c r="K33" s="125"/>
      <c r="L33" s="125"/>
      <c r="M33" s="125"/>
    </row>
    <row r="34" spans="1:13" ht="15.75" x14ac:dyDescent="0.25">
      <c r="A34" s="26">
        <v>7</v>
      </c>
      <c r="B34" s="125" t="s">
        <v>1131</v>
      </c>
      <c r="C34" s="125"/>
      <c r="D34" s="125"/>
      <c r="E34" s="125"/>
      <c r="F34" s="125"/>
      <c r="G34" s="125"/>
      <c r="H34" s="125"/>
      <c r="I34" s="125"/>
      <c r="J34" s="125"/>
      <c r="K34" s="125"/>
      <c r="L34" s="125"/>
      <c r="M34" s="125"/>
    </row>
    <row r="35" spans="1:13" ht="15.75" x14ac:dyDescent="0.25">
      <c r="A35" s="26">
        <v>8</v>
      </c>
      <c r="B35" s="125" t="s">
        <v>1132</v>
      </c>
      <c r="C35" s="125"/>
      <c r="D35" s="125"/>
      <c r="E35" s="125"/>
      <c r="F35" s="125"/>
      <c r="G35" s="125"/>
      <c r="H35" s="125"/>
      <c r="I35" s="125"/>
      <c r="J35" s="125"/>
      <c r="K35" s="125"/>
      <c r="L35" s="125"/>
      <c r="M35" s="125"/>
    </row>
    <row r="36" spans="1:13" ht="15.75" x14ac:dyDescent="0.25">
      <c r="A36" s="26">
        <v>9</v>
      </c>
      <c r="B36" s="125" t="s">
        <v>741</v>
      </c>
      <c r="C36" s="125"/>
      <c r="D36" s="125"/>
      <c r="E36" s="125"/>
      <c r="F36" s="125"/>
      <c r="G36" s="125"/>
      <c r="H36" s="125"/>
      <c r="I36" s="125"/>
      <c r="J36" s="125"/>
      <c r="K36" s="125"/>
      <c r="L36" s="125"/>
      <c r="M36" s="125"/>
    </row>
    <row r="37" spans="1:13" ht="15.75" x14ac:dyDescent="0.25">
      <c r="A37" s="26">
        <v>10</v>
      </c>
      <c r="B37" s="125" t="s">
        <v>1133</v>
      </c>
      <c r="C37" s="125"/>
      <c r="D37" s="125"/>
      <c r="E37" s="125"/>
      <c r="F37" s="125"/>
      <c r="G37" s="125"/>
      <c r="H37" s="125"/>
      <c r="I37" s="125"/>
      <c r="J37" s="125"/>
      <c r="K37" s="125"/>
      <c r="L37" s="125"/>
      <c r="M37" s="125"/>
    </row>
    <row r="38" spans="1:13" ht="15.75" x14ac:dyDescent="0.25">
      <c r="A38" s="27"/>
      <c r="B38" s="27"/>
      <c r="C38" s="27"/>
      <c r="D38" s="27"/>
      <c r="E38" s="27"/>
      <c r="F38" s="27"/>
      <c r="G38" s="27"/>
      <c r="H38" s="27"/>
      <c r="I38" s="27"/>
      <c r="J38" s="27"/>
      <c r="K38" s="27"/>
      <c r="L38" s="27"/>
      <c r="M38" s="27"/>
    </row>
    <row r="39" spans="1:13" ht="15.75" x14ac:dyDescent="0.25">
      <c r="A39" s="27"/>
      <c r="B39" s="124" t="s">
        <v>743</v>
      </c>
      <c r="C39" s="124"/>
      <c r="D39" s="124"/>
      <c r="E39" s="124"/>
      <c r="F39" s="124"/>
      <c r="G39" s="124"/>
      <c r="H39" s="124"/>
      <c r="I39" s="124"/>
      <c r="J39" s="124"/>
      <c r="K39" s="124"/>
      <c r="L39" s="124"/>
      <c r="M39" s="124"/>
    </row>
    <row r="40" spans="1:13" ht="39.75" customHeight="1" x14ac:dyDescent="0.25">
      <c r="A40" s="27"/>
      <c r="B40" s="125" t="s">
        <v>744</v>
      </c>
      <c r="C40" s="125"/>
      <c r="D40" s="125"/>
      <c r="E40" s="125"/>
      <c r="F40" s="125"/>
      <c r="G40" s="125"/>
      <c r="H40" s="125"/>
      <c r="I40" s="125"/>
      <c r="J40" s="125"/>
      <c r="K40" s="125"/>
      <c r="L40" s="125"/>
      <c r="M40" s="125"/>
    </row>
    <row r="41" spans="1:13" ht="40.5" customHeight="1" x14ac:dyDescent="0.25">
      <c r="A41" s="27"/>
      <c r="B41" s="125" t="s">
        <v>745</v>
      </c>
      <c r="C41" s="125"/>
      <c r="D41" s="125"/>
      <c r="E41" s="125"/>
      <c r="F41" s="125"/>
      <c r="G41" s="125"/>
      <c r="H41" s="125"/>
      <c r="I41" s="125"/>
      <c r="J41" s="125"/>
      <c r="K41" s="125"/>
      <c r="L41" s="125"/>
      <c r="M41" s="125"/>
    </row>
    <row r="42" spans="1:13" ht="15.75" x14ac:dyDescent="0.25">
      <c r="A42" s="27"/>
      <c r="B42" s="27"/>
      <c r="C42" s="27"/>
      <c r="D42" s="27"/>
      <c r="E42" s="27"/>
      <c r="F42" s="27"/>
      <c r="G42" s="27"/>
      <c r="H42" s="27"/>
      <c r="I42" s="27"/>
      <c r="J42" s="27"/>
      <c r="K42" s="27"/>
      <c r="L42" s="27"/>
      <c r="M42" s="27"/>
    </row>
    <row r="43" spans="1:13" ht="15.75" x14ac:dyDescent="0.25">
      <c r="A43" s="27"/>
      <c r="B43" s="27"/>
      <c r="C43" s="27"/>
      <c r="D43" s="27"/>
      <c r="E43" s="27"/>
      <c r="F43" s="27"/>
      <c r="G43" s="27"/>
      <c r="H43" s="27"/>
      <c r="I43" s="27"/>
      <c r="J43" s="27"/>
      <c r="K43" s="27"/>
      <c r="L43" s="27"/>
      <c r="M43" s="27"/>
    </row>
    <row r="45" spans="1:13" ht="15.75" x14ac:dyDescent="0.25">
      <c r="G45" s="126" t="s">
        <v>746</v>
      </c>
      <c r="H45" s="126"/>
      <c r="I45" s="126"/>
      <c r="J45" s="126"/>
    </row>
  </sheetData>
  <mergeCells count="16">
    <mergeCell ref="B31:M31"/>
    <mergeCell ref="A1:O1"/>
    <mergeCell ref="A2:O2"/>
    <mergeCell ref="B28:M28"/>
    <mergeCell ref="B29:M29"/>
    <mergeCell ref="B30:M30"/>
    <mergeCell ref="B39:M39"/>
    <mergeCell ref="B40:M40"/>
    <mergeCell ref="B41:M41"/>
    <mergeCell ref="G45:J45"/>
    <mergeCell ref="B32:M32"/>
    <mergeCell ref="B33:M33"/>
    <mergeCell ref="B34:M34"/>
    <mergeCell ref="B35:M35"/>
    <mergeCell ref="B36:M36"/>
    <mergeCell ref="B37:M37"/>
  </mergeCells>
  <pageMargins left="0.3" right="0.17" top="0.72" bottom="0.66" header="0.3" footer="0.37"/>
  <pageSetup paperSize="9" scale="75" orientation="landscape" verticalDpi="0" r:id="rId1"/>
  <headerFooter>
    <oddFooter>Page &amp;P of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12</vt:i4>
      </vt:variant>
    </vt:vector>
  </HeadingPairs>
  <TitlesOfParts>
    <vt:vector size="19" baseType="lpstr">
      <vt:lpstr>2020-21</vt:lpstr>
      <vt:lpstr>2019-20</vt:lpstr>
      <vt:lpstr>2018-19</vt:lpstr>
      <vt:lpstr>2017-18</vt:lpstr>
      <vt:lpstr>2016-17</vt:lpstr>
      <vt:lpstr>MDS 2020-21</vt:lpstr>
      <vt:lpstr>MDS 2019-20</vt:lpstr>
      <vt:lpstr>'2017-18'!Print_Area</vt:lpstr>
      <vt:lpstr>'2018-19'!Print_Area</vt:lpstr>
      <vt:lpstr>'2019-20'!Print_Area</vt:lpstr>
      <vt:lpstr>'2020-21'!Print_Area</vt:lpstr>
      <vt:lpstr>'MDS 2019-20'!Print_Area</vt:lpstr>
      <vt:lpstr>'MDS 2020-21'!Print_Area</vt:lpstr>
      <vt:lpstr>'2016-17'!Print_Titles</vt:lpstr>
      <vt:lpstr>'2017-18'!Print_Titles</vt:lpstr>
      <vt:lpstr>'2018-19'!Print_Titles</vt:lpstr>
      <vt:lpstr>'2019-20'!Print_Titles</vt:lpstr>
      <vt:lpstr>'2020-21'!Print_Titles</vt:lpstr>
      <vt:lpstr>'MDS 2019-20'!Print_Titles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DENTAL GSL</dc:creator>
  <cp:lastModifiedBy>Suresh</cp:lastModifiedBy>
  <cp:lastPrinted>2022-08-10T05:48:47Z</cp:lastPrinted>
  <dcterms:created xsi:type="dcterms:W3CDTF">2021-01-10T06:09:15Z</dcterms:created>
  <dcterms:modified xsi:type="dcterms:W3CDTF">2022-08-27T02:49:15Z</dcterms:modified>
</cp:coreProperties>
</file>